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506C39F-25F4-4AC0-BBB4-99FAD69BB6CF}" xr6:coauthVersionLast="31" xr6:coauthVersionMax="31" xr10:uidLastSave="{00000000-0000-0000-0000-000000000000}"/>
  <bookViews>
    <workbookView xWindow="0" yWindow="0" windowWidth="12540" windowHeight="10128" activeTab="3" xr2:uid="{923722FF-5D82-4095-BBAE-4CEACA2A3239}"/>
  </bookViews>
  <sheets>
    <sheet name="BTC" sheetId="1" r:id="rId1"/>
    <sheet name="Secrets of Bitmex" sheetId="2" r:id="rId2"/>
    <sheet name="Eth-fut" sheetId="7" r:id="rId3"/>
    <sheet name="XRP-fut" sheetId="3" r:id="rId4"/>
    <sheet name="LTC-fut" sheetId="12" r:id="rId5"/>
    <sheet name="BCH-fut" sheetId="9" r:id="rId6"/>
    <sheet name="ADA-fut" sheetId="10" r:id="rId7"/>
    <sheet name="TRX-fut" sheetId="8" r:id="rId8"/>
    <sheet name="EOS-fut" sheetId="11" r:id="rId9"/>
    <sheet name="XPR-S1" sheetId="5" r:id="rId10"/>
    <sheet name="BTC-S1" sheetId="6" r:id="rId1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7" l="1"/>
  <c r="E27" i="12" l="1"/>
  <c r="D27" i="12"/>
  <c r="C27" i="12"/>
  <c r="B27" i="12"/>
  <c r="E26" i="12"/>
  <c r="D26" i="12"/>
  <c r="C26" i="12"/>
  <c r="B26" i="12"/>
  <c r="E25" i="12"/>
  <c r="D25" i="12"/>
  <c r="C25" i="12"/>
  <c r="B25" i="12"/>
  <c r="E24" i="12"/>
  <c r="D24" i="12"/>
  <c r="C24" i="12"/>
  <c r="B24" i="12"/>
  <c r="E23" i="12"/>
  <c r="D23" i="12"/>
  <c r="C23" i="12"/>
  <c r="B23" i="12"/>
  <c r="E22" i="12"/>
  <c r="D22" i="12"/>
  <c r="C22" i="12"/>
  <c r="B22" i="12"/>
  <c r="E21" i="12"/>
  <c r="D21" i="12"/>
  <c r="C21" i="12"/>
  <c r="B21" i="12"/>
  <c r="E20" i="12"/>
  <c r="D20" i="12"/>
  <c r="C20" i="12"/>
  <c r="B20" i="12"/>
  <c r="E13" i="12"/>
  <c r="E14" i="12" s="1"/>
  <c r="D13" i="12"/>
  <c r="D14" i="12" s="1"/>
  <c r="C13" i="12"/>
  <c r="C14" i="12" s="1"/>
  <c r="B13" i="12"/>
  <c r="B14" i="12" s="1"/>
  <c r="E12" i="12"/>
  <c r="D12" i="12"/>
  <c r="C12" i="12"/>
  <c r="B12" i="12"/>
  <c r="E8" i="12"/>
  <c r="D8" i="12"/>
  <c r="C8" i="12"/>
  <c r="B8" i="12"/>
  <c r="B7" i="12" s="1"/>
  <c r="E7" i="12"/>
  <c r="E19" i="12" s="1"/>
  <c r="D7" i="12"/>
  <c r="D19" i="12" s="1"/>
  <c r="C7" i="12"/>
  <c r="C19" i="12" s="1"/>
  <c r="E27" i="11"/>
  <c r="D27" i="11"/>
  <c r="C27" i="11"/>
  <c r="B27" i="11"/>
  <c r="E26" i="11"/>
  <c r="D26" i="11"/>
  <c r="C26" i="11"/>
  <c r="B26" i="11"/>
  <c r="E25" i="11"/>
  <c r="D25" i="11"/>
  <c r="C25" i="11"/>
  <c r="B25" i="11"/>
  <c r="E24" i="11"/>
  <c r="D24" i="11"/>
  <c r="C24" i="11"/>
  <c r="B24" i="11"/>
  <c r="E23" i="11"/>
  <c r="D23" i="11"/>
  <c r="C23" i="11"/>
  <c r="B23" i="11"/>
  <c r="E22" i="11"/>
  <c r="D22" i="11"/>
  <c r="C22" i="11"/>
  <c r="B22" i="11"/>
  <c r="E21" i="11"/>
  <c r="D21" i="11"/>
  <c r="C21" i="11"/>
  <c r="B21" i="11"/>
  <c r="E20" i="11"/>
  <c r="D20" i="11"/>
  <c r="C20" i="11"/>
  <c r="B20" i="11"/>
  <c r="E13" i="11"/>
  <c r="E14" i="11" s="1"/>
  <c r="D13" i="11"/>
  <c r="D14" i="11" s="1"/>
  <c r="C13" i="11"/>
  <c r="C14" i="11" s="1"/>
  <c r="B13" i="11"/>
  <c r="B14" i="11" s="1"/>
  <c r="E12" i="11"/>
  <c r="D12" i="11"/>
  <c r="C12" i="11"/>
  <c r="B12" i="11"/>
  <c r="E8" i="11"/>
  <c r="D8" i="11"/>
  <c r="C8" i="11"/>
  <c r="B8" i="11"/>
  <c r="E7" i="11"/>
  <c r="E19" i="11" s="1"/>
  <c r="D7" i="11"/>
  <c r="D19" i="11" s="1"/>
  <c r="C7" i="11"/>
  <c r="C19" i="11" s="1"/>
  <c r="B7" i="11"/>
  <c r="B19" i="11" s="1"/>
  <c r="E27" i="10"/>
  <c r="D27" i="10"/>
  <c r="C27" i="10"/>
  <c r="B27" i="10"/>
  <c r="E26" i="10"/>
  <c r="D26" i="10"/>
  <c r="C26" i="10"/>
  <c r="B26" i="10"/>
  <c r="E25" i="10"/>
  <c r="D25" i="10"/>
  <c r="C25" i="10"/>
  <c r="B25" i="10"/>
  <c r="E24" i="10"/>
  <c r="D24" i="10"/>
  <c r="C24" i="10"/>
  <c r="B24" i="10"/>
  <c r="E23" i="10"/>
  <c r="D23" i="10"/>
  <c r="C23" i="10"/>
  <c r="B23" i="10"/>
  <c r="E22" i="10"/>
  <c r="D22" i="10"/>
  <c r="C22" i="10"/>
  <c r="B22" i="10"/>
  <c r="E21" i="10"/>
  <c r="D21" i="10"/>
  <c r="C21" i="10"/>
  <c r="B21" i="10"/>
  <c r="E20" i="10"/>
  <c r="D20" i="10"/>
  <c r="C20" i="10"/>
  <c r="B20" i="10"/>
  <c r="E13" i="10"/>
  <c r="E14" i="10" s="1"/>
  <c r="D13" i="10"/>
  <c r="D14" i="10" s="1"/>
  <c r="C13" i="10"/>
  <c r="C14" i="10" s="1"/>
  <c r="B13" i="10"/>
  <c r="B14" i="10" s="1"/>
  <c r="E12" i="10"/>
  <c r="D12" i="10"/>
  <c r="C12" i="10"/>
  <c r="B12" i="10"/>
  <c r="E8" i="10"/>
  <c r="D8" i="10"/>
  <c r="C8" i="10"/>
  <c r="B8" i="10"/>
  <c r="E7" i="10"/>
  <c r="E9" i="10" s="1"/>
  <c r="D7" i="10"/>
  <c r="D19" i="10" s="1"/>
  <c r="C7" i="10"/>
  <c r="C19" i="10" s="1"/>
  <c r="B7" i="10"/>
  <c r="B19" i="10" s="1"/>
  <c r="E27" i="9"/>
  <c r="D27" i="9"/>
  <c r="C27" i="9"/>
  <c r="B27" i="9"/>
  <c r="E26" i="9"/>
  <c r="D26" i="9"/>
  <c r="C26" i="9"/>
  <c r="B26" i="9"/>
  <c r="E25" i="9"/>
  <c r="D25" i="9"/>
  <c r="C25" i="9"/>
  <c r="B25" i="9"/>
  <c r="E24" i="9"/>
  <c r="D24" i="9"/>
  <c r="C24" i="9"/>
  <c r="B24" i="9"/>
  <c r="E23" i="9"/>
  <c r="D23" i="9"/>
  <c r="C23" i="9"/>
  <c r="B23" i="9"/>
  <c r="E22" i="9"/>
  <c r="D22" i="9"/>
  <c r="C22" i="9"/>
  <c r="B22" i="9"/>
  <c r="E21" i="9"/>
  <c r="D21" i="9"/>
  <c r="C21" i="9"/>
  <c r="B21" i="9"/>
  <c r="E20" i="9"/>
  <c r="D20" i="9"/>
  <c r="C20" i="9"/>
  <c r="B20" i="9"/>
  <c r="E13" i="9"/>
  <c r="E14" i="9" s="1"/>
  <c r="D13" i="9"/>
  <c r="D14" i="9" s="1"/>
  <c r="C13" i="9"/>
  <c r="C14" i="9" s="1"/>
  <c r="B13" i="9"/>
  <c r="B14" i="9" s="1"/>
  <c r="E12" i="9"/>
  <c r="D12" i="9"/>
  <c r="C12" i="9"/>
  <c r="B12" i="9"/>
  <c r="E8" i="9"/>
  <c r="D8" i="9"/>
  <c r="C8" i="9"/>
  <c r="B8" i="9"/>
  <c r="E7" i="9"/>
  <c r="E19" i="9" s="1"/>
  <c r="D7" i="9"/>
  <c r="D9" i="9" s="1"/>
  <c r="C7" i="9"/>
  <c r="B7" i="9"/>
  <c r="E27" i="8"/>
  <c r="D27" i="8"/>
  <c r="C27" i="8"/>
  <c r="B27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3" i="8"/>
  <c r="E14" i="8" s="1"/>
  <c r="D13" i="8"/>
  <c r="D14" i="8" s="1"/>
  <c r="C13" i="8"/>
  <c r="C14" i="8" s="1"/>
  <c r="B13" i="8"/>
  <c r="B14" i="8" s="1"/>
  <c r="E12" i="8"/>
  <c r="D12" i="8"/>
  <c r="C12" i="8"/>
  <c r="B12" i="8"/>
  <c r="E8" i="8"/>
  <c r="D8" i="8"/>
  <c r="C8" i="8"/>
  <c r="B8" i="8"/>
  <c r="E7" i="8"/>
  <c r="E19" i="8" s="1"/>
  <c r="D7" i="8"/>
  <c r="C7" i="8"/>
  <c r="B7" i="8"/>
  <c r="B19" i="8" s="1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3" i="7"/>
  <c r="E14" i="7" s="1"/>
  <c r="D13" i="7"/>
  <c r="D14" i="7" s="1"/>
  <c r="C13" i="7"/>
  <c r="C14" i="7" s="1"/>
  <c r="B13" i="7"/>
  <c r="B14" i="7" s="1"/>
  <c r="E12" i="7"/>
  <c r="D12" i="7"/>
  <c r="C12" i="7"/>
  <c r="B12" i="7"/>
  <c r="E8" i="7"/>
  <c r="E7" i="7" s="1"/>
  <c r="E19" i="7" s="1"/>
  <c r="D8" i="7"/>
  <c r="D7" i="7" s="1"/>
  <c r="D19" i="7" s="1"/>
  <c r="C7" i="7"/>
  <c r="B8" i="7"/>
  <c r="B7" i="7" s="1"/>
  <c r="B9" i="7" s="1"/>
  <c r="C9" i="7" l="1"/>
  <c r="C19" i="7"/>
  <c r="B19" i="12"/>
  <c r="E15" i="12"/>
  <c r="E16" i="12" s="1"/>
  <c r="B15" i="12"/>
  <c r="B16" i="12" s="1"/>
  <c r="E9" i="12"/>
  <c r="C9" i="12"/>
  <c r="C15" i="12"/>
  <c r="C16" i="12" s="1"/>
  <c r="B9" i="12"/>
  <c r="D9" i="12"/>
  <c r="D15" i="12"/>
  <c r="D16" i="12" s="1"/>
  <c r="B9" i="11"/>
  <c r="B15" i="11"/>
  <c r="B16" i="11" s="1"/>
  <c r="C9" i="11"/>
  <c r="C15" i="11"/>
  <c r="C16" i="11" s="1"/>
  <c r="D9" i="11"/>
  <c r="D15" i="11"/>
  <c r="D16" i="11" s="1"/>
  <c r="E9" i="11"/>
  <c r="E15" i="11"/>
  <c r="E16" i="11" s="1"/>
  <c r="E15" i="10"/>
  <c r="E16" i="10" s="1"/>
  <c r="E19" i="10"/>
  <c r="B9" i="10"/>
  <c r="B15" i="10"/>
  <c r="B16" i="10" s="1"/>
  <c r="C9" i="10"/>
  <c r="C15" i="10"/>
  <c r="C16" i="10" s="1"/>
  <c r="D9" i="10"/>
  <c r="D15" i="10"/>
  <c r="D16" i="10" s="1"/>
  <c r="C19" i="9"/>
  <c r="B19" i="9"/>
  <c r="C9" i="9"/>
  <c r="C15" i="9"/>
  <c r="C16" i="9" s="1"/>
  <c r="B9" i="9"/>
  <c r="D15" i="9"/>
  <c r="D16" i="9" s="1"/>
  <c r="D19" i="9"/>
  <c r="B15" i="9"/>
  <c r="B16" i="9" s="1"/>
  <c r="E9" i="9"/>
  <c r="E15" i="9"/>
  <c r="E16" i="9" s="1"/>
  <c r="D19" i="8"/>
  <c r="C19" i="8"/>
  <c r="E9" i="8"/>
  <c r="E15" i="8"/>
  <c r="E16" i="8" s="1"/>
  <c r="B9" i="8"/>
  <c r="B15" i="8"/>
  <c r="B16" i="8" s="1"/>
  <c r="C9" i="8"/>
  <c r="C15" i="8"/>
  <c r="C16" i="8" s="1"/>
  <c r="D9" i="8"/>
  <c r="D15" i="8"/>
  <c r="D16" i="8" s="1"/>
  <c r="D15" i="7"/>
  <c r="D16" i="7" s="1"/>
  <c r="B15" i="7"/>
  <c r="B16" i="7" s="1"/>
  <c r="B19" i="7"/>
  <c r="C15" i="7"/>
  <c r="C16" i="7" s="1"/>
  <c r="D9" i="7"/>
  <c r="E9" i="7"/>
  <c r="E15" i="7"/>
  <c r="E16" i="7" s="1"/>
  <c r="C20" i="3"/>
  <c r="D20" i="3"/>
  <c r="E20" i="3"/>
  <c r="C7" i="3"/>
  <c r="C9" i="3" s="1"/>
  <c r="E18" i="6"/>
  <c r="E11" i="6"/>
  <c r="E12" i="6" s="1"/>
  <c r="E10" i="6"/>
  <c r="E6" i="6"/>
  <c r="E25" i="6" s="1"/>
  <c r="E5" i="6"/>
  <c r="E17" i="6" s="1"/>
  <c r="D18" i="6"/>
  <c r="D11" i="6"/>
  <c r="D12" i="6" s="1"/>
  <c r="D10" i="6"/>
  <c r="D6" i="6"/>
  <c r="D25" i="6" s="1"/>
  <c r="D5" i="6"/>
  <c r="D17" i="6" s="1"/>
  <c r="C18" i="6"/>
  <c r="C11" i="6"/>
  <c r="C12" i="6" s="1"/>
  <c r="C10" i="6"/>
  <c r="C6" i="6"/>
  <c r="C25" i="6" s="1"/>
  <c r="C5" i="6"/>
  <c r="C17" i="6" s="1"/>
  <c r="B18" i="6"/>
  <c r="B11" i="6"/>
  <c r="B12" i="6" s="1"/>
  <c r="B10" i="6"/>
  <c r="B6" i="6"/>
  <c r="B25" i="6" s="1"/>
  <c r="E27" i="5"/>
  <c r="E26" i="5"/>
  <c r="E25" i="5"/>
  <c r="E24" i="5"/>
  <c r="E23" i="5"/>
  <c r="E22" i="5"/>
  <c r="E21" i="5"/>
  <c r="E20" i="5"/>
  <c r="E13" i="5"/>
  <c r="E14" i="5" s="1"/>
  <c r="E12" i="5"/>
  <c r="E8" i="5"/>
  <c r="E7" i="5"/>
  <c r="E15" i="5" s="1"/>
  <c r="D27" i="5"/>
  <c r="D26" i="5"/>
  <c r="D25" i="5"/>
  <c r="D24" i="5"/>
  <c r="D23" i="5"/>
  <c r="D22" i="5"/>
  <c r="D21" i="5"/>
  <c r="D20" i="5"/>
  <c r="D13" i="5"/>
  <c r="D14" i="5" s="1"/>
  <c r="D12" i="5"/>
  <c r="D8" i="5"/>
  <c r="D7" i="5"/>
  <c r="C27" i="5"/>
  <c r="C26" i="5"/>
  <c r="C25" i="5"/>
  <c r="C24" i="5"/>
  <c r="C23" i="5"/>
  <c r="C22" i="5"/>
  <c r="C21" i="5"/>
  <c r="C20" i="5"/>
  <c r="C13" i="5"/>
  <c r="C14" i="5" s="1"/>
  <c r="C12" i="5"/>
  <c r="C8" i="5"/>
  <c r="C7" i="5"/>
  <c r="B27" i="5"/>
  <c r="B26" i="5"/>
  <c r="B25" i="5"/>
  <c r="B24" i="5"/>
  <c r="B23" i="5"/>
  <c r="B22" i="5"/>
  <c r="B21" i="5"/>
  <c r="B20" i="5"/>
  <c r="B13" i="5"/>
  <c r="B14" i="5" s="1"/>
  <c r="B12" i="5"/>
  <c r="B8" i="5"/>
  <c r="B7" i="5"/>
  <c r="B20" i="3"/>
  <c r="C27" i="3"/>
  <c r="D27" i="3"/>
  <c r="E27" i="3"/>
  <c r="B27" i="3"/>
  <c r="B26" i="3"/>
  <c r="C26" i="3"/>
  <c r="D26" i="3"/>
  <c r="E26" i="3"/>
  <c r="C25" i="3"/>
  <c r="D25" i="3"/>
  <c r="E25" i="3"/>
  <c r="B25" i="3"/>
  <c r="B24" i="3"/>
  <c r="D24" i="3"/>
  <c r="E24" i="3"/>
  <c r="C24" i="3"/>
  <c r="B22" i="3"/>
  <c r="C23" i="3"/>
  <c r="D23" i="3"/>
  <c r="E23" i="3"/>
  <c r="B23" i="3"/>
  <c r="C22" i="3"/>
  <c r="D22" i="3"/>
  <c r="E22" i="3"/>
  <c r="B21" i="3"/>
  <c r="C21" i="3"/>
  <c r="D21" i="3"/>
  <c r="E21" i="3"/>
  <c r="E13" i="3"/>
  <c r="E14" i="3" s="1"/>
  <c r="D13" i="3"/>
  <c r="D14" i="3" s="1"/>
  <c r="C13" i="3"/>
  <c r="C14" i="3" s="1"/>
  <c r="B13" i="3"/>
  <c r="B14" i="3" s="1"/>
  <c r="C8" i="3"/>
  <c r="D8" i="3"/>
  <c r="E8" i="3"/>
  <c r="B8" i="3"/>
  <c r="D7" i="3"/>
  <c r="D15" i="3" s="1"/>
  <c r="E7" i="3"/>
  <c r="B7" i="3"/>
  <c r="B9" i="3" s="1"/>
  <c r="E12" i="3"/>
  <c r="D12" i="3"/>
  <c r="C12" i="3"/>
  <c r="B12" i="3"/>
  <c r="C6" i="1"/>
  <c r="C5" i="1" s="1"/>
  <c r="C10" i="1"/>
  <c r="C11" i="1"/>
  <c r="C12" i="1" s="1"/>
  <c r="C18" i="1"/>
  <c r="D6" i="1"/>
  <c r="D5" i="1" s="1"/>
  <c r="D10" i="1"/>
  <c r="D11" i="1"/>
  <c r="D12" i="1" s="1"/>
  <c r="D18" i="1"/>
  <c r="D19" i="1"/>
  <c r="D22" i="1"/>
  <c r="E6" i="1"/>
  <c r="E5" i="1" s="1"/>
  <c r="E10" i="1"/>
  <c r="E11" i="1"/>
  <c r="E12" i="1" s="1"/>
  <c r="E18" i="1"/>
  <c r="E19" i="1"/>
  <c r="E20" i="1"/>
  <c r="E21" i="1"/>
  <c r="E22" i="1"/>
  <c r="E23" i="1"/>
  <c r="E24" i="1"/>
  <c r="E25" i="1"/>
  <c r="D31" i="12" l="1"/>
  <c r="D30" i="12"/>
  <c r="D29" i="12"/>
  <c r="D28" i="12"/>
  <c r="D18" i="12"/>
  <c r="D17" i="12" s="1"/>
  <c r="B31" i="12"/>
  <c r="B30" i="12"/>
  <c r="B29" i="12"/>
  <c r="B28" i="12"/>
  <c r="B18" i="12"/>
  <c r="B17" i="12" s="1"/>
  <c r="C31" i="12"/>
  <c r="C30" i="12"/>
  <c r="C29" i="12"/>
  <c r="C28" i="12"/>
  <c r="C18" i="12"/>
  <c r="C17" i="12" s="1"/>
  <c r="E31" i="12"/>
  <c r="E28" i="12"/>
  <c r="E30" i="12"/>
  <c r="E18" i="12"/>
  <c r="E17" i="12" s="1"/>
  <c r="E29" i="12"/>
  <c r="C31" i="11"/>
  <c r="C30" i="11"/>
  <c r="C29" i="11"/>
  <c r="C28" i="11"/>
  <c r="C18" i="11"/>
  <c r="C17" i="11" s="1"/>
  <c r="E31" i="11"/>
  <c r="E30" i="11"/>
  <c r="E29" i="11"/>
  <c r="E28" i="11"/>
  <c r="E18" i="11"/>
  <c r="E17" i="11" s="1"/>
  <c r="D31" i="11"/>
  <c r="D30" i="11"/>
  <c r="D29" i="11"/>
  <c r="D28" i="11"/>
  <c r="D18" i="11"/>
  <c r="D17" i="11" s="1"/>
  <c r="B18" i="11"/>
  <c r="B17" i="11" s="1"/>
  <c r="B31" i="11"/>
  <c r="B30" i="11"/>
  <c r="B29" i="11"/>
  <c r="B28" i="11"/>
  <c r="B31" i="10"/>
  <c r="B30" i="10"/>
  <c r="B29" i="10"/>
  <c r="B28" i="10"/>
  <c r="B18" i="10"/>
  <c r="B17" i="10" s="1"/>
  <c r="D31" i="10"/>
  <c r="D30" i="10"/>
  <c r="D29" i="10"/>
  <c r="D28" i="10"/>
  <c r="D18" i="10"/>
  <c r="D17" i="10" s="1"/>
  <c r="C31" i="10"/>
  <c r="C30" i="10"/>
  <c r="C29" i="10"/>
  <c r="C28" i="10"/>
  <c r="C18" i="10"/>
  <c r="C17" i="10" s="1"/>
  <c r="E30" i="10"/>
  <c r="E31" i="10"/>
  <c r="E29" i="10"/>
  <c r="E28" i="10"/>
  <c r="E18" i="10"/>
  <c r="E17" i="10" s="1"/>
  <c r="D31" i="9"/>
  <c r="D30" i="9"/>
  <c r="D29" i="9"/>
  <c r="D28" i="9"/>
  <c r="D18" i="9"/>
  <c r="D17" i="9" s="1"/>
  <c r="B18" i="9"/>
  <c r="B17" i="9" s="1"/>
  <c r="B31" i="9"/>
  <c r="B30" i="9"/>
  <c r="B29" i="9"/>
  <c r="B28" i="9"/>
  <c r="C31" i="9"/>
  <c r="C30" i="9"/>
  <c r="C29" i="9"/>
  <c r="C28" i="9"/>
  <c r="C18" i="9"/>
  <c r="C17" i="9" s="1"/>
  <c r="E31" i="9"/>
  <c r="E30" i="9"/>
  <c r="E29" i="9"/>
  <c r="E28" i="9"/>
  <c r="E18" i="9"/>
  <c r="E17" i="9" s="1"/>
  <c r="B31" i="8"/>
  <c r="B30" i="8"/>
  <c r="B29" i="8"/>
  <c r="B28" i="8"/>
  <c r="B18" i="8"/>
  <c r="B17" i="8" s="1"/>
  <c r="C31" i="8"/>
  <c r="C30" i="8"/>
  <c r="C29" i="8"/>
  <c r="C28" i="8"/>
  <c r="C18" i="8"/>
  <c r="C17" i="8" s="1"/>
  <c r="E31" i="8"/>
  <c r="E30" i="8"/>
  <c r="E29" i="8"/>
  <c r="E28" i="8"/>
  <c r="E18" i="8"/>
  <c r="E17" i="8" s="1"/>
  <c r="D31" i="8"/>
  <c r="D30" i="8"/>
  <c r="D29" i="8"/>
  <c r="D28" i="8"/>
  <c r="D18" i="8"/>
  <c r="D17" i="8" s="1"/>
  <c r="E31" i="7"/>
  <c r="E30" i="7"/>
  <c r="E29" i="7"/>
  <c r="E28" i="7"/>
  <c r="E18" i="7"/>
  <c r="E17" i="7" s="1"/>
  <c r="B31" i="7"/>
  <c r="B30" i="7"/>
  <c r="B29" i="7"/>
  <c r="B28" i="7"/>
  <c r="B18" i="7"/>
  <c r="B17" i="7" s="1"/>
  <c r="C31" i="7"/>
  <c r="C30" i="7"/>
  <c r="C29" i="7"/>
  <c r="C28" i="7"/>
  <c r="C18" i="7"/>
  <c r="C17" i="7" s="1"/>
  <c r="D31" i="7"/>
  <c r="D29" i="7"/>
  <c r="D18" i="7"/>
  <c r="D17" i="7" s="1"/>
  <c r="D30" i="7"/>
  <c r="D28" i="7"/>
  <c r="B19" i="5"/>
  <c r="D19" i="5"/>
  <c r="E19" i="5"/>
  <c r="E16" i="5"/>
  <c r="E31" i="5" s="1"/>
  <c r="C19" i="5"/>
  <c r="E9" i="5"/>
  <c r="D23" i="1"/>
  <c r="D25" i="1"/>
  <c r="D21" i="1"/>
  <c r="D24" i="1"/>
  <c r="D20" i="1"/>
  <c r="D9" i="3"/>
  <c r="E15" i="3"/>
  <c r="E16" i="3" s="1"/>
  <c r="E9" i="3"/>
  <c r="E19" i="6"/>
  <c r="E22" i="6"/>
  <c r="E23" i="6"/>
  <c r="D19" i="6"/>
  <c r="D22" i="6"/>
  <c r="D23" i="6"/>
  <c r="C19" i="6"/>
  <c r="C22" i="6"/>
  <c r="C23" i="6"/>
  <c r="B5" i="6"/>
  <c r="B17" i="6" s="1"/>
  <c r="E20" i="6"/>
  <c r="E24" i="6"/>
  <c r="E7" i="6"/>
  <c r="E13" i="6"/>
  <c r="E14" i="6" s="1"/>
  <c r="E21" i="6"/>
  <c r="D20" i="6"/>
  <c r="D24" i="6"/>
  <c r="D7" i="6"/>
  <c r="D13" i="6"/>
  <c r="D14" i="6" s="1"/>
  <c r="D21" i="6"/>
  <c r="C20" i="6"/>
  <c r="C24" i="6"/>
  <c r="C7" i="6"/>
  <c r="C13" i="6"/>
  <c r="C14" i="6" s="1"/>
  <c r="C21" i="6"/>
  <c r="B7" i="6"/>
  <c r="B19" i="6"/>
  <c r="B20" i="6"/>
  <c r="B21" i="6"/>
  <c r="B22" i="6"/>
  <c r="B23" i="6"/>
  <c r="B24" i="6"/>
  <c r="D9" i="5"/>
  <c r="D15" i="5"/>
  <c r="D16" i="5" s="1"/>
  <c r="C9" i="5"/>
  <c r="C15" i="5"/>
  <c r="C16" i="5" s="1"/>
  <c r="B9" i="5"/>
  <c r="B15" i="5"/>
  <c r="B16" i="5" s="1"/>
  <c r="B15" i="3"/>
  <c r="C15" i="3"/>
  <c r="E19" i="3"/>
  <c r="C19" i="3"/>
  <c r="D19" i="3"/>
  <c r="C7" i="1"/>
  <c r="C13" i="1"/>
  <c r="C14" i="1" s="1"/>
  <c r="C17" i="1"/>
  <c r="C24" i="1"/>
  <c r="C22" i="1"/>
  <c r="C25" i="1"/>
  <c r="C21" i="1"/>
  <c r="C20" i="1"/>
  <c r="C23" i="1"/>
  <c r="C19" i="1"/>
  <c r="D7" i="1"/>
  <c r="D13" i="1"/>
  <c r="D14" i="1" s="1"/>
  <c r="D17" i="1"/>
  <c r="E7" i="1"/>
  <c r="E17" i="1"/>
  <c r="E13" i="1"/>
  <c r="E14" i="1" s="1"/>
  <c r="B13" i="6" l="1"/>
  <c r="B14" i="6" s="1"/>
  <c r="E29" i="5"/>
  <c r="E30" i="5"/>
  <c r="E18" i="5"/>
  <c r="E17" i="5" s="1"/>
  <c r="E28" i="5"/>
  <c r="E29" i="6"/>
  <c r="E27" i="6"/>
  <c r="E28" i="6"/>
  <c r="E16" i="6"/>
  <c r="E15" i="6" s="1"/>
  <c r="E26" i="6"/>
  <c r="D29" i="6"/>
  <c r="D26" i="6"/>
  <c r="D28" i="6"/>
  <c r="D16" i="6"/>
  <c r="D15" i="6" s="1"/>
  <c r="D27" i="6"/>
  <c r="C29" i="6"/>
  <c r="C28" i="6"/>
  <c r="C16" i="6"/>
  <c r="C15" i="6" s="1"/>
  <c r="C27" i="6"/>
  <c r="C26" i="6"/>
  <c r="B29" i="6"/>
  <c r="B28" i="6"/>
  <c r="B27" i="6"/>
  <c r="B26" i="6"/>
  <c r="B16" i="6"/>
  <c r="B15" i="6" s="1"/>
  <c r="D31" i="5"/>
  <c r="D30" i="5"/>
  <c r="D18" i="5"/>
  <c r="D17" i="5" s="1"/>
  <c r="D29" i="5"/>
  <c r="D28" i="5"/>
  <c r="C31" i="5"/>
  <c r="C30" i="5"/>
  <c r="C18" i="5"/>
  <c r="C17" i="5" s="1"/>
  <c r="C29" i="5"/>
  <c r="C28" i="5"/>
  <c r="B31" i="5"/>
  <c r="B30" i="5"/>
  <c r="B29" i="5"/>
  <c r="B28" i="5"/>
  <c r="B18" i="5"/>
  <c r="B17" i="5" s="1"/>
  <c r="C16" i="3"/>
  <c r="C31" i="3" s="1"/>
  <c r="D16" i="3"/>
  <c r="D31" i="3" s="1"/>
  <c r="B19" i="3"/>
  <c r="B16" i="3"/>
  <c r="E31" i="3"/>
  <c r="E30" i="3"/>
  <c r="E29" i="3"/>
  <c r="E28" i="3"/>
  <c r="E18" i="3"/>
  <c r="E17" i="3" s="1"/>
  <c r="C32" i="1"/>
  <c r="C16" i="1"/>
  <c r="C15" i="1" s="1"/>
  <c r="C33" i="1"/>
  <c r="C34" i="1"/>
  <c r="C31" i="1"/>
  <c r="D32" i="1"/>
  <c r="D33" i="1"/>
  <c r="D16" i="1"/>
  <c r="D15" i="1" s="1"/>
  <c r="D31" i="1"/>
  <c r="D34" i="1"/>
  <c r="E32" i="1"/>
  <c r="E33" i="1"/>
  <c r="E31" i="1"/>
  <c r="E16" i="1"/>
  <c r="E15" i="1" s="1"/>
  <c r="E34" i="1"/>
  <c r="B18" i="1"/>
  <c r="B11" i="1"/>
  <c r="B12" i="1" s="1"/>
  <c r="B10" i="1"/>
  <c r="B6" i="1"/>
  <c r="B24" i="1" s="1"/>
  <c r="C18" i="3" l="1"/>
  <c r="C17" i="3" s="1"/>
  <c r="C28" i="3"/>
  <c r="C29" i="3"/>
  <c r="C30" i="3"/>
  <c r="D29" i="3"/>
  <c r="D18" i="3"/>
  <c r="D17" i="3" s="1"/>
  <c r="D28" i="3"/>
  <c r="D30" i="3"/>
  <c r="B30" i="3"/>
  <c r="B28" i="3"/>
  <c r="B29" i="3"/>
  <c r="B18" i="3"/>
  <c r="B17" i="3" s="1"/>
  <c r="B31" i="3"/>
  <c r="B25" i="1"/>
  <c r="B22" i="1"/>
  <c r="B21" i="1"/>
  <c r="B5" i="1"/>
  <c r="B17" i="1" s="1"/>
  <c r="B23" i="1"/>
  <c r="B20" i="1"/>
  <c r="B19" i="1"/>
  <c r="B7" i="1" l="1"/>
  <c r="B13" i="1"/>
  <c r="B14" i="1" s="1"/>
  <c r="B16" i="1" l="1"/>
  <c r="B15" i="1" s="1"/>
  <c r="B33" i="1"/>
  <c r="B34" i="1"/>
  <c r="B32" i="1"/>
  <c r="B31" i="1"/>
</calcChain>
</file>

<file path=xl/sharedStrings.xml><?xml version="1.0" encoding="utf-8"?>
<sst xmlns="http://schemas.openxmlformats.org/spreadsheetml/2006/main" count="691" uniqueCount="170">
  <si>
    <t>LONG AND BTC UP</t>
  </si>
  <si>
    <t>LONG BUT BTC DOWN</t>
  </si>
  <si>
    <t>SHORT AND BTC DOWN</t>
  </si>
  <si>
    <t>SHORT BUT BTC UP</t>
  </si>
  <si>
    <t>Trade value in BTC</t>
  </si>
  <si>
    <t>3.Entry price</t>
  </si>
  <si>
    <t>4.Close price</t>
  </si>
  <si>
    <t>BTC Price changed %</t>
  </si>
  <si>
    <t>Trade Result in BTC</t>
  </si>
  <si>
    <t>Trade Result in USD</t>
  </si>
  <si>
    <t>Result on Deposited BTC</t>
  </si>
  <si>
    <t>ROE %</t>
  </si>
  <si>
    <t>Estimated Liq price</t>
  </si>
  <si>
    <t>Your new USD balance will be</t>
  </si>
  <si>
    <t>Your new BTC balance will be</t>
  </si>
  <si>
    <t>Do you want get next version? Please send me feedback</t>
  </si>
  <si>
    <t>Easy protifts calculations at</t>
  </si>
  <si>
    <t xml:space="preserve"> Bitmex exchange</t>
  </si>
  <si>
    <t>Created by:</t>
  </si>
  <si>
    <t>www.MinistryOfMarginTrading.com</t>
  </si>
  <si>
    <t xml:space="preserve">You are using this calculator at </t>
  </si>
  <si>
    <t xml:space="preserve">2. Your X leverage </t>
  </si>
  <si>
    <r>
      <rPr>
        <b/>
        <sz val="22"/>
        <rFont val="Calibri"/>
        <family val="2"/>
        <scheme val="minor"/>
      </rPr>
      <t>Fees1</t>
    </r>
    <r>
      <rPr>
        <sz val="16"/>
        <rFont val="Calibri"/>
        <family val="2"/>
        <scheme val="minor"/>
      </rPr>
      <t xml:space="preserve"> Entry by limit and closed by limit</t>
    </r>
  </si>
  <si>
    <t>Scenario 1</t>
  </si>
  <si>
    <t>Scenario 2</t>
  </si>
  <si>
    <t>Scenario 3</t>
  </si>
  <si>
    <t>Scenario 4</t>
  </si>
  <si>
    <r>
      <rPr>
        <b/>
        <sz val="22"/>
        <rFont val="Calibri"/>
        <family val="2"/>
        <scheme val="minor"/>
      </rPr>
      <t>Fees2</t>
    </r>
    <r>
      <rPr>
        <sz val="16"/>
        <rFont val="Calibri"/>
        <family val="2"/>
        <scheme val="minor"/>
      </rPr>
      <t xml:space="preserve"> Entry by limit and close by market</t>
    </r>
  </si>
  <si>
    <r>
      <rPr>
        <b/>
        <sz val="22"/>
        <rFont val="Calibri"/>
        <family val="2"/>
        <scheme val="minor"/>
      </rPr>
      <t>Fees3</t>
    </r>
    <r>
      <rPr>
        <sz val="16"/>
        <rFont val="Calibri"/>
        <family val="2"/>
        <scheme val="minor"/>
      </rPr>
      <t xml:space="preserve"> Entry by market and close by limit</t>
    </r>
  </si>
  <si>
    <r>
      <rPr>
        <b/>
        <sz val="22"/>
        <rFont val="Calibri"/>
        <family val="2"/>
        <scheme val="minor"/>
      </rPr>
      <t>Fees4</t>
    </r>
    <r>
      <rPr>
        <sz val="16"/>
        <rFont val="Calibri"/>
        <family val="2"/>
        <scheme val="minor"/>
      </rPr>
      <t xml:space="preserve"> Entry by market and close market</t>
    </r>
  </si>
  <si>
    <t>Total trade profit USD</t>
  </si>
  <si>
    <t>Total trade profit USD + Fees1</t>
  </si>
  <si>
    <r>
      <rPr>
        <b/>
        <sz val="22"/>
        <rFont val="Calibri"/>
        <family val="2"/>
        <scheme val="minor"/>
      </rPr>
      <t>Fees2a</t>
    </r>
    <r>
      <rPr>
        <sz val="16"/>
        <rFont val="Calibri"/>
        <family val="2"/>
        <scheme val="minor"/>
      </rPr>
      <t xml:space="preserve"> with 10 % discount</t>
    </r>
  </si>
  <si>
    <r>
      <rPr>
        <b/>
        <sz val="22"/>
        <rFont val="Calibri"/>
        <family val="2"/>
        <scheme val="minor"/>
      </rPr>
      <t>Fees3a</t>
    </r>
    <r>
      <rPr>
        <sz val="16"/>
        <rFont val="Calibri"/>
        <family val="2"/>
        <scheme val="minor"/>
      </rPr>
      <t xml:space="preserve"> with 10 % discount</t>
    </r>
  </si>
  <si>
    <r>
      <rPr>
        <b/>
        <sz val="22"/>
        <rFont val="Calibri"/>
        <family val="2"/>
        <scheme val="minor"/>
      </rPr>
      <t>Fees4a</t>
    </r>
    <r>
      <rPr>
        <sz val="16"/>
        <rFont val="Calibri"/>
        <family val="2"/>
        <scheme val="minor"/>
      </rPr>
      <t xml:space="preserve"> with 10 % discount</t>
    </r>
  </si>
  <si>
    <t>Total trade profit USD + Fees2a</t>
  </si>
  <si>
    <t>Total trade profit USD + Fees3a</t>
  </si>
  <si>
    <t>Total trade profit USD + Fees4a</t>
  </si>
  <si>
    <t>minus? They will charge you this amount in BTC</t>
  </si>
  <si>
    <t>Fees - choose your trade entry and close orders</t>
  </si>
  <si>
    <t>Fees add maunaly to get you new USD balance</t>
  </si>
  <si>
    <t xml:space="preserve"> Note: When price reach Liquidation price you lose assigned Deposit BTC for this trade</t>
  </si>
  <si>
    <t xml:space="preserve"> Lines 2-18 do not compute funding rate and not include fees</t>
  </si>
  <si>
    <t>Liquidation price can be a little different comparing to Bitmex platform so double check it</t>
  </si>
  <si>
    <t>Remeber to insert Close price lower/higher then liquidation price, to calculator make sense</t>
  </si>
  <si>
    <t>Min leverege is 0,01 and max 100. The best? Depends probably around x 6-10</t>
  </si>
  <si>
    <t>Every scenario check in different column (1-4)</t>
  </si>
  <si>
    <t>1:1 leverage means your 1$ is like 2$ (for long)</t>
  </si>
  <si>
    <t>Using high leverege is worth to set up stop by Mark price (20-30 USD before liquidation price)</t>
  </si>
  <si>
    <r>
      <rPr>
        <b/>
        <sz val="16"/>
        <color rgb="FFFF0000"/>
        <rFont val="Calibri"/>
        <family val="2"/>
        <scheme val="minor"/>
      </rPr>
      <t xml:space="preserve">Contact: 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MinistryOfMarginTrading@gmail.com</t>
    </r>
  </si>
  <si>
    <r>
      <t xml:space="preserve">Column 1 scenario - Entry price &lt; close price </t>
    </r>
    <r>
      <rPr>
        <b/>
        <sz val="11"/>
        <color rgb="FFFF0000"/>
        <rFont val="Calibri"/>
        <family val="2"/>
        <scheme val="minor"/>
      </rPr>
      <t>(must)</t>
    </r>
  </si>
  <si>
    <r>
      <t xml:space="preserve">Column 2 scenario - Entry price &gt; close price </t>
    </r>
    <r>
      <rPr>
        <b/>
        <sz val="11"/>
        <color rgb="FFFF0000"/>
        <rFont val="Calibri"/>
        <family val="2"/>
        <scheme val="minor"/>
      </rPr>
      <t>(must)</t>
    </r>
  </si>
  <si>
    <r>
      <t xml:space="preserve">Column 3 scenario - Entry price &gt; close price </t>
    </r>
    <r>
      <rPr>
        <b/>
        <sz val="11"/>
        <color rgb="FFFF0000"/>
        <rFont val="Calibri"/>
        <family val="2"/>
        <scheme val="minor"/>
      </rPr>
      <t>(must)</t>
    </r>
  </si>
  <si>
    <r>
      <t xml:space="preserve">Column 4 scenario- Entry price &lt; close price </t>
    </r>
    <r>
      <rPr>
        <b/>
        <sz val="11"/>
        <color rgb="FFFF0000"/>
        <rFont val="Calibri"/>
        <family val="2"/>
        <scheme val="minor"/>
      </rPr>
      <t>(must)</t>
    </r>
  </si>
  <si>
    <t>Fees2a means Fees2 with 10% discount</t>
  </si>
  <si>
    <t xml:space="preserve">OUR OTHER RELATED ARTICLES: </t>
  </si>
  <si>
    <t>How to set up stop loss correctly to avoid liquidation?</t>
  </si>
  <si>
    <t>Bitmex downtime explained - how to take adventage</t>
  </si>
  <si>
    <t>In preparing...</t>
  </si>
  <si>
    <t>Bitmex negative balance protection - explained</t>
  </si>
  <si>
    <t>Bitmex fees - explained with examples</t>
  </si>
  <si>
    <t>Every scenario (column) is independent, if you want to compare fill line: 3,4,8 with the same data</t>
  </si>
  <si>
    <t>The best strategies for Bitmex - how to get more profits</t>
  </si>
  <si>
    <t>1. Bitcoin price (when entry)</t>
  </si>
  <si>
    <t>2. Bitcoin price (when close)</t>
  </si>
  <si>
    <t>4. Your leverage (x0,01-x20)</t>
  </si>
  <si>
    <t>XRP Price changed %</t>
  </si>
  <si>
    <t>5. XRP contract Entry price (XBT/XRP)</t>
  </si>
  <si>
    <t>6. XRP contract Close price (XBT/XRP)</t>
  </si>
  <si>
    <t xml:space="preserve">Trade Result in USD </t>
  </si>
  <si>
    <r>
      <t xml:space="preserve">Column 1 scenario - Entry price &lt; close price </t>
    </r>
    <r>
      <rPr>
        <b/>
        <sz val="18"/>
        <color rgb="FFFF0000"/>
        <rFont val="Calibri"/>
        <family val="2"/>
        <scheme val="minor"/>
      </rPr>
      <t>(must)</t>
    </r>
  </si>
  <si>
    <r>
      <t xml:space="preserve">Column 2 scenario - Entry price &gt; close price </t>
    </r>
    <r>
      <rPr>
        <b/>
        <sz val="18"/>
        <color rgb="FFFF0000"/>
        <rFont val="Calibri"/>
        <family val="2"/>
        <scheme val="minor"/>
      </rPr>
      <t>(must)</t>
    </r>
  </si>
  <si>
    <r>
      <t xml:space="preserve">Column 3 scenario - Entry price &gt; close price </t>
    </r>
    <r>
      <rPr>
        <b/>
        <sz val="18"/>
        <color rgb="FFFF0000"/>
        <rFont val="Calibri"/>
        <family val="2"/>
        <scheme val="minor"/>
      </rPr>
      <t>(must)</t>
    </r>
  </si>
  <si>
    <r>
      <t xml:space="preserve">Column 4 scenario- Entry price &lt; close price </t>
    </r>
    <r>
      <rPr>
        <b/>
        <sz val="18"/>
        <color rgb="FFFF0000"/>
        <rFont val="Calibri"/>
        <family val="2"/>
        <scheme val="minor"/>
      </rPr>
      <t>(must)</t>
    </r>
  </si>
  <si>
    <r>
      <rPr>
        <b/>
        <sz val="18"/>
        <color rgb="FFFF0000"/>
        <rFont val="Calibri"/>
        <family val="2"/>
        <scheme val="minor"/>
      </rPr>
      <t xml:space="preserve">Contact: </t>
    </r>
    <r>
      <rPr>
        <sz val="18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MinistryOfMarginTrading@gmail.com</t>
    </r>
  </si>
  <si>
    <r>
      <rPr>
        <b/>
        <sz val="20"/>
        <color rgb="FFFF0000"/>
        <rFont val="Calibri"/>
        <family val="2"/>
        <scheme val="minor"/>
      </rPr>
      <t xml:space="preserve">Contact: </t>
    </r>
    <r>
      <rPr>
        <sz val="20"/>
        <color theme="1"/>
        <rFont val="Calibri"/>
        <family val="2"/>
        <scheme val="minor"/>
      </rPr>
      <t xml:space="preserve"> </t>
    </r>
    <r>
      <rPr>
        <b/>
        <sz val="20"/>
        <color theme="1"/>
        <rFont val="Calibri"/>
        <family val="2"/>
        <scheme val="minor"/>
      </rPr>
      <t>MinistryOfMarginTrading@gmail.com</t>
    </r>
  </si>
  <si>
    <t>Every scenario (column) is independent, if you want to compare fill blue cells:</t>
  </si>
  <si>
    <t>Using high leverege is worth to set up stop by Mark price (1% before liquidation price)</t>
  </si>
  <si>
    <t xml:space="preserve"> Lines 2-20 do not compute funding rate and not include fees</t>
  </si>
  <si>
    <t>Max leverage is x20 min is x0,01 The best? It depends probably around x 6-10</t>
  </si>
  <si>
    <t>LONG AND XRP UP</t>
  </si>
  <si>
    <t>LONG BUT XRP DOWN</t>
  </si>
  <si>
    <t>SHORT AND XRP DOWN</t>
  </si>
  <si>
    <t>SHORT BUT XRP UP</t>
  </si>
  <si>
    <t>no minus in Fees result? You will get this amount as rebate in BTC (green)</t>
  </si>
  <si>
    <t>Fees - choose your trade entry and close price</t>
  </si>
  <si>
    <t>line 16 + fees</t>
  </si>
  <si>
    <t>www.BitMEX.com/10%-FEES-discounts-for-next-6-months</t>
  </si>
  <si>
    <t>Edit only blue cells</t>
  </si>
  <si>
    <t>3. RIPPLE (XRP) Contracts quantity</t>
  </si>
  <si>
    <t>Bitmex leverage explained</t>
  </si>
  <si>
    <t>Trainings and Webinars about Bitmex</t>
  </si>
  <si>
    <t>VISIT US: https://www.ministryofmargintrading.com/</t>
  </si>
  <si>
    <t xml:space="preserve">Discount expires every 6 months then you can register again with different e-mail to keep low fees. </t>
  </si>
  <si>
    <t>This is a free calculator. If you appreciate your work you can open or re-open Bitmex account using our link to get 10% discounts</t>
  </si>
  <si>
    <t>Edit blue cells, here is 4 columns with the same scenarion</t>
  </si>
  <si>
    <t>1. XBT Contracts quantity</t>
  </si>
  <si>
    <t>XRP vs BTC changed %</t>
  </si>
  <si>
    <t>3. RIPPLE (XRP) contracts quantity</t>
  </si>
  <si>
    <t>Trade result in BTC</t>
  </si>
  <si>
    <t xml:space="preserve">Trade result in USD </t>
  </si>
  <si>
    <t>Result on deposited BTC</t>
  </si>
  <si>
    <t>4. XBT close price</t>
  </si>
  <si>
    <t>Trade result in USD</t>
  </si>
  <si>
    <t>Using high leverage is worth to set up stop by Mark price (20-30 USD before liquidation price)</t>
  </si>
  <si>
    <t>Deposit taken in BTC (cost)</t>
  </si>
  <si>
    <t>2. Your X leverage (0,01 up to 100)</t>
  </si>
  <si>
    <t>1.  XBT contracts quantity</t>
  </si>
  <si>
    <t>You invested in USD</t>
  </si>
  <si>
    <t>3. XBT entry price</t>
  </si>
  <si>
    <t>&lt;---------------------This is WIN - WIN deal. Thank you and remember about us :)</t>
  </si>
  <si>
    <t>LONG AND ETH UP</t>
  </si>
  <si>
    <t>LONG BUT ETH DOWN</t>
  </si>
  <si>
    <t>SHORT AND ETH DOWN</t>
  </si>
  <si>
    <t>SHORT BUT ETH UP</t>
  </si>
  <si>
    <t>5. ETH contract Entry price (XBT/ETH)</t>
  </si>
  <si>
    <t>6. ETH contract Close price (XBT/ETH)</t>
  </si>
  <si>
    <t>3. ETHEREUM (ETH) contracts quantity</t>
  </si>
  <si>
    <t>4. Your leverage (x0,01-x50)</t>
  </si>
  <si>
    <t>ETHEREUM FUTURES - instruction</t>
  </si>
  <si>
    <t>Max. leverage is x50 when Min. is x0,01 The best? It depends probably around x 6-10</t>
  </si>
  <si>
    <r>
      <t xml:space="preserve">CALCULATING AT BITMEX VER </t>
    </r>
    <r>
      <rPr>
        <b/>
        <sz val="18"/>
        <color rgb="FFFF0000"/>
        <rFont val="Calibri"/>
        <family val="2"/>
        <scheme val="minor"/>
      </rPr>
      <t>1.04</t>
    </r>
  </si>
  <si>
    <t>BITCOIN PERPETUAL - instruction</t>
  </si>
  <si>
    <t>XRP FUTURES - INSTRUCTION</t>
  </si>
  <si>
    <t>SCENARIO 1 OLNY, if you want to compare result for differnet close price, fill blue cells:</t>
  </si>
  <si>
    <t>own risk, remember investing with leverage involved high risk</t>
  </si>
  <si>
    <t>Fees are not added (here) to the trade profit because it depends! Look 28-31</t>
  </si>
  <si>
    <t>Fees are not added (here) to the trade profit because it depends! Look 31-34</t>
  </si>
  <si>
    <t>Fees are not added (here) to the trade profit because it depends! Look 26-29</t>
  </si>
  <si>
    <t>TRON (TRX) FUTURES CONTRACT - INSTRUCTION</t>
  </si>
  <si>
    <t>3. TRON (TRX) contracts quantity</t>
  </si>
  <si>
    <t>5. TRX contract Entry price (XBT/TRX)</t>
  </si>
  <si>
    <t>6. TRX contract Close price (XBT/TRX)</t>
  </si>
  <si>
    <t>LONG AND TRX UP</t>
  </si>
  <si>
    <t>LONG BUT TRX DOWN</t>
  </si>
  <si>
    <t>SHORT AND TRX DOWN</t>
  </si>
  <si>
    <t>SHORT BUT TRX UP</t>
  </si>
  <si>
    <t>TRX vs BTC changed in %</t>
  </si>
  <si>
    <t>BTC price changed in %</t>
  </si>
  <si>
    <t>XRP vs BTC changed in %</t>
  </si>
  <si>
    <t>BITCOIN CASH (BCH) FUTURES CONTRACT - INSTRUCTION</t>
  </si>
  <si>
    <t>3.BTC CASH (BCH) contracts quantity</t>
  </si>
  <si>
    <t>BCH vs BTC changed in %</t>
  </si>
  <si>
    <t>5. BCH contract entry price (XBT/BCH)</t>
  </si>
  <si>
    <t>6. BCH contract close price (XBT/BCH)</t>
  </si>
  <si>
    <t>2. Bitcoin price (when closed)</t>
  </si>
  <si>
    <t>4. Your leverage (x0,01-x20,00)</t>
  </si>
  <si>
    <t>Estimated liquidation price</t>
  </si>
  <si>
    <t>Edit only blue cells, use commas as in the example!</t>
  </si>
  <si>
    <t>Using high leverege is worth to set up stop by mark price (1% before liquidation price)</t>
  </si>
  <si>
    <t>BITCOIN PERPETUAL and FUTURES - instruction</t>
  </si>
  <si>
    <t>CARDANO (ADA) FUTURES CONTRACT - INSTRUCTION</t>
  </si>
  <si>
    <t>3. CARDANO (ADA) contracts quantity</t>
  </si>
  <si>
    <t>5. ADA contract Entry price (XBT/ADA)</t>
  </si>
  <si>
    <t>6. ADA contract Close price (XBT/ADA)</t>
  </si>
  <si>
    <t>ADA vs BTC changed in %</t>
  </si>
  <si>
    <t>EOS Token (EOS) FUTURES CONTRACT - INSTRUCTION</t>
  </si>
  <si>
    <t>6. EOS contract Close price (XBT/EOS)</t>
  </si>
  <si>
    <t>5. EOS contract Entry price (XBT/EOS)</t>
  </si>
  <si>
    <t>EOS vs BTC changed in %</t>
  </si>
  <si>
    <t>Edit only blue cells and use commas as in the example!</t>
  </si>
  <si>
    <t>Fees are not added (here) to the trade profit because it depends! Look lines 28-31</t>
  </si>
  <si>
    <t>4. Your leverage (x0,01-x33,00)</t>
  </si>
  <si>
    <t>LITECOIN FUTURES - instruction</t>
  </si>
  <si>
    <t>3. LITCOIN (LTC) contracts quantity</t>
  </si>
  <si>
    <t>5. LTC contract Entry price (XBT/LTC)</t>
  </si>
  <si>
    <t>6. LTC contract Close price (XBT/LTC)</t>
  </si>
  <si>
    <t>3. EOS Token (EOS) contracts quantity</t>
  </si>
  <si>
    <t>Next version (1.05) to download 30th NOV 2018</t>
  </si>
  <si>
    <t>(expected at late November)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</si>
</sst>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"/>
    <numFmt numFmtId="165" formatCode="0.0000"/>
    <numFmt numFmtId="166" formatCode="#,##0.00\ [$USD]"/>
    <numFmt numFmtId="167" formatCode="#,##0.0\ _z_ł"/>
    <numFmt numFmtId="168" formatCode="#,##0.00000000"/>
    <numFmt numFmtId="169" formatCode="0.00000000"/>
    <numFmt numFmtId="170" formatCode="0.0"/>
    <numFmt numFmtId="171" formatCode="#,##0.00000"/>
    <numFmt numFmtId="172" formatCode="#,##0.0000"/>
    <numFmt numFmtId="173" formatCode="#,##0.0000000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u/>
      <sz val="20"/>
      <color theme="10"/>
      <name val="Calibri"/>
      <family val="2"/>
      <charset val="238"/>
      <scheme val="minor"/>
    </font>
    <font>
      <b/>
      <i/>
      <sz val="18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8"/>
      <color theme="10"/>
      <name val="Calibri"/>
      <family val="2"/>
      <charset val="238"/>
      <scheme val="minor"/>
    </font>
    <font>
      <b/>
      <u/>
      <sz val="20"/>
      <color theme="4"/>
      <name val="Calibri"/>
      <family val="2"/>
      <scheme val="minor"/>
    </font>
    <font>
      <b/>
      <u/>
      <sz val="2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rgb="FFFF0000"/>
      </top>
      <bottom/>
      <diagonal/>
    </border>
    <border>
      <left style="thick">
        <color indexed="64"/>
      </left>
      <right style="thick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/>
      <bottom style="thick">
        <color rgb="FFFF0000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rgb="FFFF0000"/>
      </top>
      <bottom/>
      <diagonal/>
    </border>
    <border>
      <left style="thick">
        <color indexed="64"/>
      </left>
      <right/>
      <top style="thick">
        <color rgb="FFFF0000"/>
      </top>
      <bottom style="thick">
        <color rgb="FFFF0000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rgb="FFFF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rgb="FFFF0000"/>
      </left>
      <right style="thick">
        <color indexed="64"/>
      </right>
      <top style="thick">
        <color indexed="64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14" fillId="0" borderId="0" applyNumberFormat="0" applyFill="0" applyBorder="0" applyAlignment="0" applyProtection="0"/>
  </cellStyleXfs>
  <cellXfs count="194">
    <xf numFmtId="0" fontId="0" fillId="0" borderId="0" xfId="0"/>
    <xf numFmtId="164" fontId="7" fillId="7" borderId="7" xfId="0" applyNumberFormat="1" applyFont="1" applyFill="1" applyBorder="1" applyAlignment="1" applyProtection="1">
      <alignment horizontal="center" vertical="center"/>
      <protection locked="0"/>
    </xf>
    <xf numFmtId="164" fontId="7" fillId="7" borderId="8" xfId="0" applyNumberFormat="1" applyFont="1" applyFill="1" applyBorder="1" applyAlignment="1" applyProtection="1">
      <alignment horizontal="center" vertical="center"/>
      <protection locked="0"/>
    </xf>
    <xf numFmtId="165" fontId="7" fillId="8" borderId="11" xfId="0" applyNumberFormat="1" applyFont="1" applyFill="1" applyBorder="1" applyAlignment="1" applyProtection="1">
      <alignment horizontal="center" vertical="center"/>
      <protection hidden="1"/>
    </xf>
    <xf numFmtId="165" fontId="7" fillId="8" borderId="13" xfId="0" applyNumberFormat="1" applyFont="1" applyFill="1" applyBorder="1" applyAlignment="1" applyProtection="1">
      <alignment horizontal="center" vertical="center"/>
      <protection hidden="1"/>
    </xf>
    <xf numFmtId="166" fontId="7" fillId="8" borderId="15" xfId="0" applyNumberFormat="1" applyFont="1" applyFill="1" applyBorder="1" applyAlignment="1" applyProtection="1">
      <alignment horizontal="center" vertical="center"/>
      <protection hidden="1"/>
    </xf>
    <xf numFmtId="164" fontId="7" fillId="7" borderId="17" xfId="0" applyNumberFormat="1" applyFont="1" applyFill="1" applyBorder="1" applyAlignment="1" applyProtection="1">
      <alignment horizontal="center" vertical="center"/>
      <protection locked="0"/>
    </xf>
    <xf numFmtId="10" fontId="7" fillId="8" borderId="11" xfId="0" applyNumberFormat="1" applyFont="1" applyFill="1" applyBorder="1" applyAlignment="1" applyProtection="1">
      <alignment horizontal="center" vertical="center"/>
      <protection hidden="1"/>
    </xf>
    <xf numFmtId="166" fontId="7" fillId="8" borderId="13" xfId="0" applyNumberFormat="1" applyFont="1" applyFill="1" applyBorder="1" applyAlignment="1" applyProtection="1">
      <alignment horizontal="center" vertical="center"/>
      <protection hidden="1"/>
    </xf>
    <xf numFmtId="10" fontId="7" fillId="8" borderId="13" xfId="0" applyNumberFormat="1" applyFont="1" applyFill="1" applyBorder="1" applyAlignment="1" applyProtection="1">
      <alignment horizontal="center" vertical="center"/>
      <protection hidden="1"/>
    </xf>
    <xf numFmtId="167" fontId="8" fillId="9" borderId="15" xfId="0" applyNumberFormat="1" applyFont="1" applyFill="1" applyBorder="1" applyAlignment="1" applyProtection="1">
      <alignment horizontal="center" vertical="center"/>
      <protection hidden="1"/>
    </xf>
    <xf numFmtId="166" fontId="10" fillId="5" borderId="13" xfId="0" applyNumberFormat="1" applyFont="1" applyFill="1" applyBorder="1" applyAlignment="1" applyProtection="1">
      <alignment horizontal="right" vertical="center"/>
      <protection hidden="1"/>
    </xf>
    <xf numFmtId="164" fontId="7" fillId="7" borderId="20" xfId="0" applyNumberFormat="1" applyFont="1" applyFill="1" applyBorder="1" applyAlignment="1" applyProtection="1">
      <alignment horizontal="center" vertical="center"/>
      <protection locked="0"/>
    </xf>
    <xf numFmtId="165" fontId="7" fillId="8" borderId="22" xfId="0" applyNumberFormat="1" applyFont="1" applyFill="1" applyBorder="1" applyAlignment="1" applyProtection="1">
      <alignment horizontal="center" vertical="center"/>
      <protection hidden="1"/>
    </xf>
    <xf numFmtId="165" fontId="7" fillId="8" borderId="23" xfId="0" applyNumberFormat="1" applyFont="1" applyFill="1" applyBorder="1" applyAlignment="1" applyProtection="1">
      <alignment horizontal="center" vertical="center"/>
      <protection hidden="1"/>
    </xf>
    <xf numFmtId="166" fontId="7" fillId="8" borderId="24" xfId="0" applyNumberFormat="1" applyFont="1" applyFill="1" applyBorder="1" applyAlignment="1" applyProtection="1">
      <alignment horizontal="center" vertical="center"/>
      <protection hidden="1"/>
    </xf>
    <xf numFmtId="164" fontId="7" fillId="7" borderId="21" xfId="0" applyNumberFormat="1" applyFont="1" applyFill="1" applyBorder="1" applyAlignment="1" applyProtection="1">
      <alignment horizontal="center" vertical="center"/>
      <protection locked="0"/>
    </xf>
    <xf numFmtId="164" fontId="7" fillId="7" borderId="25" xfId="0" applyNumberFormat="1" applyFont="1" applyFill="1" applyBorder="1" applyAlignment="1" applyProtection="1">
      <alignment horizontal="center" vertical="center"/>
      <protection locked="0"/>
    </xf>
    <xf numFmtId="10" fontId="7" fillId="8" borderId="22" xfId="0" applyNumberFormat="1" applyFont="1" applyFill="1" applyBorder="1" applyAlignment="1" applyProtection="1">
      <alignment horizontal="center" vertical="center"/>
      <protection hidden="1"/>
    </xf>
    <xf numFmtId="166" fontId="7" fillId="8" borderId="23" xfId="0" applyNumberFormat="1" applyFont="1" applyFill="1" applyBorder="1" applyAlignment="1" applyProtection="1">
      <alignment horizontal="center" vertical="center"/>
      <protection hidden="1"/>
    </xf>
    <xf numFmtId="166" fontId="10" fillId="5" borderId="23" xfId="0" applyNumberFormat="1" applyFont="1" applyFill="1" applyBorder="1" applyAlignment="1" applyProtection="1">
      <alignment horizontal="right" vertical="center"/>
      <protection hidden="1"/>
    </xf>
    <xf numFmtId="10" fontId="7" fillId="8" borderId="23" xfId="0" applyNumberFormat="1" applyFont="1" applyFill="1" applyBorder="1" applyAlignment="1" applyProtection="1">
      <alignment horizontal="center" vertical="center"/>
      <protection hidden="1"/>
    </xf>
    <xf numFmtId="167" fontId="8" fillId="9" borderId="24" xfId="0" applyNumberFormat="1" applyFont="1" applyFill="1" applyBorder="1" applyAlignment="1" applyProtection="1">
      <alignment horizontal="center" vertical="center"/>
      <protection hidden="1"/>
    </xf>
    <xf numFmtId="2" fontId="7" fillId="7" borderId="8" xfId="0" applyNumberFormat="1" applyFont="1" applyFill="1" applyBorder="1" applyAlignment="1" applyProtection="1">
      <alignment horizontal="center" vertical="center"/>
      <protection locked="0"/>
    </xf>
    <xf numFmtId="2" fontId="7" fillId="7" borderId="21" xfId="0" applyNumberFormat="1" applyFont="1" applyFill="1" applyBorder="1" applyAlignment="1" applyProtection="1">
      <alignment horizontal="center" vertical="center"/>
      <protection locked="0"/>
    </xf>
    <xf numFmtId="168" fontId="7" fillId="7" borderId="8" xfId="0" applyNumberFormat="1" applyFont="1" applyFill="1" applyBorder="1" applyAlignment="1" applyProtection="1">
      <alignment horizontal="center" vertical="center"/>
      <protection locked="0"/>
    </xf>
    <xf numFmtId="168" fontId="7" fillId="7" borderId="17" xfId="0" applyNumberFormat="1" applyFont="1" applyFill="1" applyBorder="1" applyAlignment="1" applyProtection="1">
      <alignment horizontal="center" vertical="center"/>
      <protection locked="0"/>
    </xf>
    <xf numFmtId="164" fontId="7" fillId="13" borderId="8" xfId="0" applyNumberFormat="1" applyFont="1" applyFill="1" applyBorder="1" applyAlignment="1" applyProtection="1">
      <alignment horizontal="center" vertical="center"/>
      <protection locked="0"/>
    </xf>
    <xf numFmtId="165" fontId="7" fillId="8" borderId="27" xfId="0" applyNumberFormat="1" applyFont="1" applyFill="1" applyBorder="1" applyAlignment="1" applyProtection="1">
      <alignment horizontal="center" vertical="center"/>
      <protection hidden="1"/>
    </xf>
    <xf numFmtId="165" fontId="7" fillId="8" borderId="15" xfId="0" applyNumberFormat="1" applyFont="1" applyFill="1" applyBorder="1" applyAlignment="1" applyProtection="1">
      <alignment horizontal="center" vertical="center"/>
      <protection hidden="1"/>
    </xf>
    <xf numFmtId="166" fontId="10" fillId="5" borderId="33" xfId="0" applyNumberFormat="1" applyFont="1" applyFill="1" applyBorder="1" applyAlignment="1" applyProtection="1">
      <alignment horizontal="right" vertical="center"/>
      <protection hidden="1"/>
    </xf>
    <xf numFmtId="10" fontId="7" fillId="8" borderId="30" xfId="0" applyNumberFormat="1" applyFont="1" applyFill="1" applyBorder="1" applyAlignment="1" applyProtection="1">
      <alignment horizontal="center" vertical="center"/>
      <protection hidden="1"/>
    </xf>
    <xf numFmtId="166" fontId="7" fillId="8" borderId="3" xfId="0" applyNumberFormat="1" applyFont="1" applyFill="1" applyBorder="1" applyAlignment="1" applyProtection="1">
      <alignment horizontal="center" vertical="center"/>
      <protection hidden="1"/>
    </xf>
    <xf numFmtId="165" fontId="7" fillId="8" borderId="42" xfId="0" applyNumberFormat="1" applyFont="1" applyFill="1" applyBorder="1" applyAlignment="1" applyProtection="1">
      <alignment horizontal="center" vertical="center"/>
      <protection hidden="1"/>
    </xf>
    <xf numFmtId="165" fontId="7" fillId="8" borderId="43" xfId="0" applyNumberFormat="1" applyFont="1" applyFill="1" applyBorder="1" applyAlignment="1" applyProtection="1">
      <alignment horizontal="center" vertical="center"/>
      <protection hidden="1"/>
    </xf>
    <xf numFmtId="166" fontId="7" fillId="8" borderId="2" xfId="0" applyNumberFormat="1" applyFont="1" applyFill="1" applyBorder="1" applyAlignment="1" applyProtection="1">
      <alignment horizontal="center" vertical="center"/>
      <protection hidden="1"/>
    </xf>
    <xf numFmtId="166" fontId="10" fillId="11" borderId="28" xfId="0" applyNumberFormat="1" applyFont="1" applyFill="1" applyBorder="1" applyAlignment="1" applyProtection="1">
      <alignment horizontal="center" vertical="center"/>
      <protection hidden="1"/>
    </xf>
    <xf numFmtId="166" fontId="10" fillId="11" borderId="27" xfId="0" applyNumberFormat="1" applyFont="1" applyFill="1" applyBorder="1" applyAlignment="1" applyProtection="1">
      <alignment horizontal="center" vertical="center"/>
      <protection hidden="1"/>
    </xf>
    <xf numFmtId="166" fontId="7" fillId="8" borderId="50" xfId="0" applyNumberFormat="1" applyFont="1" applyFill="1" applyBorder="1" applyAlignment="1" applyProtection="1">
      <alignment horizontal="center" vertical="center"/>
      <protection hidden="1"/>
    </xf>
    <xf numFmtId="168" fontId="8" fillId="9" borderId="33" xfId="0" applyNumberFormat="1" applyFont="1" applyFill="1" applyBorder="1" applyAlignment="1" applyProtection="1">
      <alignment horizontal="center" vertical="center"/>
      <protection hidden="1"/>
    </xf>
    <xf numFmtId="165" fontId="7" fillId="8" borderId="24" xfId="0" applyNumberFormat="1" applyFont="1" applyFill="1" applyBorder="1" applyAlignment="1" applyProtection="1">
      <alignment horizontal="center" vertical="center"/>
      <protection hidden="1"/>
    </xf>
    <xf numFmtId="166" fontId="10" fillId="11" borderId="40" xfId="0" applyNumberFormat="1" applyFont="1" applyFill="1" applyBorder="1" applyAlignment="1" applyProtection="1">
      <alignment horizontal="center" vertical="center"/>
      <protection hidden="1"/>
    </xf>
    <xf numFmtId="166" fontId="10" fillId="11" borderId="36" xfId="0" applyNumberFormat="1" applyFont="1" applyFill="1" applyBorder="1" applyAlignment="1" applyProtection="1">
      <alignment horizontal="center" vertical="center"/>
      <protection hidden="1"/>
    </xf>
    <xf numFmtId="2" fontId="7" fillId="7" borderId="58" xfId="0" applyNumberFormat="1" applyFont="1" applyFill="1" applyBorder="1" applyAlignment="1" applyProtection="1">
      <alignment horizontal="center" vertical="center"/>
      <protection locked="0"/>
    </xf>
    <xf numFmtId="165" fontId="7" fillId="8" borderId="59" xfId="0" applyNumberFormat="1" applyFont="1" applyFill="1" applyBorder="1" applyAlignment="1" applyProtection="1">
      <alignment horizontal="center" vertical="center"/>
      <protection hidden="1"/>
    </xf>
    <xf numFmtId="166" fontId="7" fillId="8" borderId="0" xfId="0" applyNumberFormat="1" applyFont="1" applyFill="1" applyBorder="1" applyAlignment="1" applyProtection="1">
      <alignment horizontal="center" vertical="center"/>
      <protection hidden="1"/>
    </xf>
    <xf numFmtId="168" fontId="7" fillId="7" borderId="58" xfId="0" applyNumberFormat="1" applyFont="1" applyFill="1" applyBorder="1" applyAlignment="1" applyProtection="1">
      <alignment horizontal="center" vertical="center"/>
      <protection locked="0"/>
    </xf>
    <xf numFmtId="10" fontId="7" fillId="8" borderId="54" xfId="0" applyNumberFormat="1" applyFont="1" applyFill="1" applyBorder="1" applyAlignment="1" applyProtection="1">
      <alignment horizontal="center" vertical="center"/>
      <protection hidden="1"/>
    </xf>
    <xf numFmtId="166" fontId="10" fillId="5" borderId="53" xfId="0" applyNumberFormat="1" applyFont="1" applyFill="1" applyBorder="1" applyAlignment="1" applyProtection="1">
      <alignment horizontal="right" vertical="center"/>
      <protection hidden="1"/>
    </xf>
    <xf numFmtId="10" fontId="7" fillId="8" borderId="60" xfId="0" applyNumberFormat="1" applyFont="1" applyFill="1" applyBorder="1" applyAlignment="1" applyProtection="1">
      <alignment horizontal="center" vertical="center"/>
      <protection hidden="1"/>
    </xf>
    <xf numFmtId="166" fontId="10" fillId="11" borderId="60" xfId="0" applyNumberFormat="1" applyFont="1" applyFill="1" applyBorder="1" applyAlignment="1" applyProtection="1">
      <alignment horizontal="center" vertical="center"/>
      <protection hidden="1"/>
    </xf>
    <xf numFmtId="3" fontId="7" fillId="13" borderId="8" xfId="0" applyNumberFormat="1" applyFont="1" applyFill="1" applyBorder="1" applyAlignment="1" applyProtection="1">
      <alignment horizontal="center" vertical="center"/>
      <protection locked="0"/>
    </xf>
    <xf numFmtId="3" fontId="7" fillId="13" borderId="58" xfId="0" applyNumberFormat="1" applyFont="1" applyFill="1" applyBorder="1" applyAlignment="1" applyProtection="1">
      <alignment horizontal="center" vertical="center"/>
      <protection locked="0"/>
    </xf>
    <xf numFmtId="171" fontId="7" fillId="7" borderId="8" xfId="0" applyNumberFormat="1" applyFont="1" applyFill="1" applyBorder="1" applyAlignment="1" applyProtection="1">
      <alignment horizontal="center" vertical="center"/>
      <protection locked="0"/>
    </xf>
    <xf numFmtId="171" fontId="7" fillId="7" borderId="58" xfId="0" applyNumberFormat="1" applyFont="1" applyFill="1" applyBorder="1" applyAlignment="1" applyProtection="1">
      <alignment horizontal="center" vertical="center"/>
      <protection locked="0"/>
    </xf>
    <xf numFmtId="171" fontId="7" fillId="7" borderId="17" xfId="0" applyNumberFormat="1" applyFont="1" applyFill="1" applyBorder="1" applyAlignment="1" applyProtection="1">
      <alignment horizontal="center" vertical="center"/>
      <protection locked="0"/>
    </xf>
    <xf numFmtId="171" fontId="8" fillId="9" borderId="33" xfId="0" applyNumberFormat="1" applyFont="1" applyFill="1" applyBorder="1" applyAlignment="1" applyProtection="1">
      <alignment horizontal="center" vertical="center"/>
      <protection hidden="1"/>
    </xf>
    <xf numFmtId="172" fontId="7" fillId="7" borderId="8" xfId="0" applyNumberFormat="1" applyFont="1" applyFill="1" applyBorder="1" applyAlignment="1" applyProtection="1">
      <alignment horizontal="center" vertical="center"/>
      <protection locked="0"/>
    </xf>
    <xf numFmtId="172" fontId="7" fillId="7" borderId="58" xfId="0" applyNumberFormat="1" applyFont="1" applyFill="1" applyBorder="1" applyAlignment="1" applyProtection="1">
      <alignment horizontal="center" vertical="center"/>
      <protection locked="0"/>
    </xf>
    <xf numFmtId="172" fontId="7" fillId="7" borderId="17" xfId="0" applyNumberFormat="1" applyFont="1" applyFill="1" applyBorder="1" applyAlignment="1" applyProtection="1">
      <alignment horizontal="center" vertical="center"/>
      <protection locked="0"/>
    </xf>
    <xf numFmtId="172" fontId="8" fillId="9" borderId="33" xfId="0" applyNumberFormat="1" applyFont="1" applyFill="1" applyBorder="1" applyAlignment="1" applyProtection="1">
      <alignment horizontal="center" vertical="center"/>
      <protection hidden="1"/>
    </xf>
    <xf numFmtId="173" fontId="8" fillId="9" borderId="33" xfId="0" applyNumberFormat="1" applyFont="1" applyFill="1" applyBorder="1" applyAlignment="1" applyProtection="1">
      <alignment horizontal="center" vertical="center"/>
      <protection hidden="1"/>
    </xf>
    <xf numFmtId="173" fontId="7" fillId="7" borderId="8" xfId="0" applyNumberFormat="1" applyFont="1" applyFill="1" applyBorder="1" applyAlignment="1" applyProtection="1">
      <alignment horizontal="center" vertical="center"/>
      <protection locked="0"/>
    </xf>
    <xf numFmtId="173" fontId="7" fillId="7" borderId="58" xfId="0" applyNumberFormat="1" applyFont="1" applyFill="1" applyBorder="1" applyAlignment="1" applyProtection="1">
      <alignment horizontal="center" vertical="center"/>
      <protection locked="0"/>
    </xf>
    <xf numFmtId="173" fontId="7" fillId="7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hidden="1"/>
    </xf>
    <xf numFmtId="0" fontId="6" fillId="0" borderId="3" xfId="0" applyFont="1" applyBorder="1" applyAlignment="1" applyProtection="1">
      <alignment horizontal="left" vertical="top"/>
      <protection hidden="1"/>
    </xf>
    <xf numFmtId="0" fontId="10" fillId="0" borderId="3" xfId="0" applyFont="1" applyBorder="1" applyAlignment="1" applyProtection="1">
      <alignment horizontal="left" vertical="top"/>
      <protection hidden="1"/>
    </xf>
    <xf numFmtId="0" fontId="10" fillId="0" borderId="18" xfId="0" applyFont="1" applyBorder="1" applyAlignment="1" applyProtection="1">
      <alignment horizontal="left" vertical="top"/>
      <protection hidden="1"/>
    </xf>
    <xf numFmtId="0" fontId="30" fillId="12" borderId="33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5" borderId="4" xfId="1" applyFont="1" applyFill="1" applyBorder="1" applyAlignment="1" applyProtection="1">
      <alignment horizontal="center" vertical="center"/>
      <protection hidden="1"/>
    </xf>
    <xf numFmtId="0" fontId="5" fillId="6" borderId="5" xfId="1" applyFont="1" applyFill="1" applyBorder="1" applyAlignment="1" applyProtection="1">
      <alignment horizontal="center" vertical="center"/>
      <protection hidden="1"/>
    </xf>
    <xf numFmtId="0" fontId="5" fillId="5" borderId="5" xfId="1" applyFont="1" applyFill="1" applyBorder="1" applyAlignment="1" applyProtection="1">
      <alignment horizontal="center" vertical="center"/>
      <protection hidden="1"/>
    </xf>
    <xf numFmtId="0" fontId="5" fillId="6" borderId="5" xfId="2" applyFont="1" applyFill="1" applyBorder="1" applyAlignment="1" applyProtection="1">
      <alignment horizontal="center" vertical="center"/>
      <protection hidden="1"/>
    </xf>
    <xf numFmtId="0" fontId="5" fillId="5" borderId="19" xfId="2" applyFont="1" applyFill="1" applyBorder="1" applyAlignment="1" applyProtection="1">
      <alignment horizontal="center" vertical="center"/>
      <protection hidden="1"/>
    </xf>
    <xf numFmtId="0" fontId="10" fillId="0" borderId="13" xfId="0" applyFont="1" applyBorder="1" applyProtection="1">
      <protection hidden="1"/>
    </xf>
    <xf numFmtId="164" fontId="6" fillId="7" borderId="6" xfId="1" applyNumberFormat="1" applyFont="1" applyFill="1" applyBorder="1" applyAlignment="1" applyProtection="1">
      <alignment horizontal="left" vertical="top"/>
      <protection hidden="1"/>
    </xf>
    <xf numFmtId="0" fontId="18" fillId="0" borderId="13" xfId="0" applyFont="1" applyBorder="1" applyProtection="1">
      <protection hidden="1"/>
    </xf>
    <xf numFmtId="1" fontId="6" fillId="7" borderId="9" xfId="1" applyNumberFormat="1" applyFont="1" applyFill="1" applyBorder="1" applyAlignment="1" applyProtection="1">
      <alignment horizontal="left" vertical="top"/>
      <protection hidden="1"/>
    </xf>
    <xf numFmtId="0" fontId="13" fillId="0" borderId="13" xfId="0" applyFont="1" applyBorder="1" applyProtection="1">
      <protection hidden="1"/>
    </xf>
    <xf numFmtId="165" fontId="8" fillId="8" borderId="10" xfId="1" applyNumberFormat="1" applyFont="1" applyFill="1" applyBorder="1" applyAlignment="1" applyProtection="1">
      <alignment horizontal="left" vertical="center"/>
      <protection hidden="1"/>
    </xf>
    <xf numFmtId="165" fontId="8" fillId="8" borderId="12" xfId="0" applyNumberFormat="1" applyFont="1" applyFill="1" applyBorder="1" applyAlignment="1" applyProtection="1">
      <alignment horizontal="left" vertical="center"/>
      <protection hidden="1"/>
    </xf>
    <xf numFmtId="166" fontId="8" fillId="8" borderId="14" xfId="0" applyNumberFormat="1" applyFont="1" applyFill="1" applyBorder="1" applyAlignment="1" applyProtection="1">
      <alignment horizontal="left" vertical="center"/>
      <protection hidden="1"/>
    </xf>
    <xf numFmtId="164" fontId="6" fillId="7" borderId="9" xfId="1" applyNumberFormat="1" applyFont="1" applyFill="1" applyBorder="1" applyAlignment="1" applyProtection="1">
      <alignment horizontal="left" vertical="top"/>
      <protection hidden="1"/>
    </xf>
    <xf numFmtId="164" fontId="6" fillId="7" borderId="16" xfId="1" applyNumberFormat="1" applyFont="1" applyFill="1" applyBorder="1" applyAlignment="1" applyProtection="1">
      <alignment horizontal="left" vertical="top"/>
      <protection hidden="1"/>
    </xf>
    <xf numFmtId="10" fontId="8" fillId="8" borderId="10" xfId="0" applyNumberFormat="1" applyFont="1" applyFill="1" applyBorder="1" applyAlignment="1" applyProtection="1">
      <alignment horizontal="left" vertical="center"/>
      <protection hidden="1"/>
    </xf>
    <xf numFmtId="166" fontId="8" fillId="8" borderId="12" xfId="0" applyNumberFormat="1" applyFont="1" applyFill="1" applyBorder="1" applyAlignment="1" applyProtection="1">
      <alignment horizontal="left" vertical="center"/>
      <protection hidden="1"/>
    </xf>
    <xf numFmtId="0" fontId="9" fillId="5" borderId="12" xfId="1" applyFont="1" applyFill="1" applyBorder="1" applyAlignment="1" applyProtection="1">
      <alignment horizontal="left" vertical="center"/>
      <protection hidden="1"/>
    </xf>
    <xf numFmtId="10" fontId="11" fillId="8" borderId="12" xfId="0" applyNumberFormat="1" applyFont="1" applyFill="1" applyBorder="1" applyAlignment="1" applyProtection="1">
      <alignment horizontal="left" vertical="center"/>
      <protection hidden="1"/>
    </xf>
    <xf numFmtId="0" fontId="18" fillId="10" borderId="13" xfId="2" applyFont="1" applyFill="1" applyBorder="1" applyProtection="1">
      <protection hidden="1"/>
    </xf>
    <xf numFmtId="10" fontId="11" fillId="8" borderId="12" xfId="1" applyNumberFormat="1" applyFont="1" applyFill="1" applyBorder="1" applyAlignment="1" applyProtection="1">
      <alignment horizontal="left" vertical="center"/>
      <protection hidden="1"/>
    </xf>
    <xf numFmtId="167" fontId="6" fillId="9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Border="1" applyProtection="1">
      <protection hidden="1"/>
    </xf>
    <xf numFmtId="166" fontId="11" fillId="8" borderId="31" xfId="1" applyNumberFormat="1" applyFont="1" applyFill="1" applyBorder="1" applyAlignment="1" applyProtection="1">
      <alignment horizontal="left" vertical="center"/>
      <protection hidden="1"/>
    </xf>
    <xf numFmtId="166" fontId="21" fillId="8" borderId="29" xfId="3" applyNumberFormat="1" applyFont="1" applyFill="1" applyBorder="1" applyAlignment="1" applyProtection="1">
      <alignment horizontal="center" vertical="center"/>
      <protection hidden="1"/>
    </xf>
    <xf numFmtId="166" fontId="21" fillId="8" borderId="62" xfId="3" applyNumberFormat="1" applyFont="1" applyFill="1" applyBorder="1" applyAlignment="1" applyProtection="1">
      <alignment horizontal="center" vertical="center"/>
      <protection hidden="1"/>
    </xf>
    <xf numFmtId="166" fontId="17" fillId="0" borderId="13" xfId="0" applyNumberFormat="1" applyFont="1" applyBorder="1" applyAlignment="1" applyProtection="1">
      <alignment vertical="center"/>
      <protection hidden="1"/>
    </xf>
    <xf numFmtId="166" fontId="0" fillId="0" borderId="0" xfId="0" applyNumberFormat="1" applyProtection="1">
      <protection hidden="1"/>
    </xf>
    <xf numFmtId="166" fontId="11" fillId="8" borderId="32" xfId="1" applyNumberFormat="1" applyFont="1" applyFill="1" applyBorder="1" applyAlignment="1" applyProtection="1">
      <alignment horizontal="left" vertical="center"/>
      <protection hidden="1"/>
    </xf>
    <xf numFmtId="166" fontId="7" fillId="8" borderId="27" xfId="3" applyNumberFormat="1" applyFont="1" applyFill="1" applyBorder="1" applyAlignment="1" applyProtection="1">
      <alignment horizontal="center" vertical="center"/>
      <protection hidden="1"/>
    </xf>
    <xf numFmtId="166" fontId="7" fillId="8" borderId="28" xfId="3" applyNumberFormat="1" applyFont="1" applyFill="1" applyBorder="1" applyAlignment="1" applyProtection="1">
      <alignment horizontal="center" vertical="center"/>
      <protection hidden="1"/>
    </xf>
    <xf numFmtId="166" fontId="13" fillId="0" borderId="13" xfId="0" applyNumberFormat="1" applyFont="1" applyBorder="1" applyProtection="1">
      <protection hidden="1"/>
    </xf>
    <xf numFmtId="166" fontId="0" fillId="0" borderId="13" xfId="0" applyNumberFormat="1" applyBorder="1" applyProtection="1">
      <protection hidden="1"/>
    </xf>
    <xf numFmtId="166" fontId="11" fillId="10" borderId="32" xfId="1" applyNumberFormat="1" applyFont="1" applyFill="1" applyBorder="1" applyAlignment="1" applyProtection="1">
      <alignment horizontal="left" vertical="center"/>
      <protection hidden="1"/>
    </xf>
    <xf numFmtId="166" fontId="10" fillId="10" borderId="27" xfId="3" applyNumberFormat="1" applyFont="1" applyFill="1" applyBorder="1" applyAlignment="1" applyProtection="1">
      <alignment horizontal="center" vertical="center"/>
      <protection hidden="1"/>
    </xf>
    <xf numFmtId="166" fontId="10" fillId="10" borderId="28" xfId="3" applyNumberFormat="1" applyFont="1" applyFill="1" applyBorder="1" applyAlignment="1" applyProtection="1">
      <alignment horizontal="center" vertical="center"/>
      <protection hidden="1"/>
    </xf>
    <xf numFmtId="0" fontId="0" fillId="10" borderId="32" xfId="0" applyFill="1" applyBorder="1" applyProtection="1">
      <protection hidden="1"/>
    </xf>
    <xf numFmtId="0" fontId="7" fillId="10" borderId="27" xfId="0" applyFont="1" applyFill="1" applyBorder="1" applyProtection="1">
      <protection hidden="1"/>
    </xf>
    <xf numFmtId="0" fontId="7" fillId="10" borderId="28" xfId="0" applyFont="1" applyFill="1" applyBorder="1" applyProtection="1">
      <protection hidden="1"/>
    </xf>
    <xf numFmtId="0" fontId="0" fillId="0" borderId="13" xfId="0" applyBorder="1" applyProtection="1">
      <protection hidden="1"/>
    </xf>
    <xf numFmtId="10" fontId="11" fillId="10" borderId="32" xfId="1" applyNumberFormat="1" applyFont="1" applyFill="1" applyBorder="1" applyAlignment="1" applyProtection="1">
      <alignment horizontal="left" vertical="center"/>
      <protection hidden="1"/>
    </xf>
    <xf numFmtId="0" fontId="9" fillId="5" borderId="32" xfId="1" applyFont="1" applyFill="1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166" fontId="7" fillId="11" borderId="27" xfId="0" applyNumberFormat="1" applyFont="1" applyFill="1" applyBorder="1" applyAlignment="1" applyProtection="1">
      <alignment horizontal="center" vertical="center"/>
      <protection hidden="1"/>
    </xf>
    <xf numFmtId="166" fontId="7" fillId="11" borderId="28" xfId="0" applyNumberFormat="1" applyFont="1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left" vertical="top"/>
      <protection hidden="1"/>
    </xf>
    <xf numFmtId="0" fontId="9" fillId="5" borderId="49" xfId="1" applyFont="1" applyFill="1" applyBorder="1" applyAlignment="1" applyProtection="1">
      <alignment horizontal="left" vertical="center"/>
      <protection hidden="1"/>
    </xf>
    <xf numFmtId="166" fontId="20" fillId="11" borderId="37" xfId="0" applyNumberFormat="1" applyFont="1" applyFill="1" applyBorder="1" applyAlignment="1" applyProtection="1">
      <alignment horizontal="center" vertical="center"/>
      <protection hidden="1"/>
    </xf>
    <xf numFmtId="166" fontId="20" fillId="11" borderId="48" xfId="0" applyNumberFormat="1" applyFont="1" applyFill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left" vertical="top"/>
      <protection hidden="1"/>
    </xf>
    <xf numFmtId="0" fontId="9" fillId="12" borderId="34" xfId="0" applyFont="1" applyFill="1" applyBorder="1" applyAlignment="1" applyProtection="1">
      <alignment horizontal="right" vertical="center"/>
      <protection hidden="1"/>
    </xf>
    <xf numFmtId="0" fontId="9" fillId="12" borderId="34" xfId="0" applyFont="1" applyFill="1" applyBorder="1" applyAlignment="1" applyProtection="1">
      <alignment horizontal="left" vertical="top"/>
      <protection hidden="1"/>
    </xf>
    <xf numFmtId="0" fontId="27" fillId="12" borderId="34" xfId="4" applyFont="1" applyFill="1" applyBorder="1" applyProtection="1">
      <protection hidden="1"/>
    </xf>
    <xf numFmtId="0" fontId="27" fillId="12" borderId="55" xfId="4" applyFont="1" applyFill="1" applyBorder="1" applyProtection="1">
      <protection hidden="1"/>
    </xf>
    <xf numFmtId="0" fontId="32" fillId="12" borderId="33" xfId="4" applyFont="1" applyFill="1" applyBorder="1" applyAlignment="1" applyProtection="1">
      <alignment horizontal="left" vertical="top"/>
      <protection hidden="1"/>
    </xf>
    <xf numFmtId="0" fontId="19" fillId="12" borderId="63" xfId="0" applyFont="1" applyFill="1" applyBorder="1" applyAlignment="1" applyProtection="1">
      <alignment horizontal="right" vertical="center"/>
      <protection hidden="1"/>
    </xf>
    <xf numFmtId="0" fontId="19" fillId="12" borderId="41" xfId="0" applyFont="1" applyFill="1" applyBorder="1" applyAlignment="1" applyProtection="1">
      <alignment horizontal="left" vertical="center"/>
      <protection hidden="1"/>
    </xf>
    <xf numFmtId="0" fontId="26" fillId="12" borderId="41" xfId="0" applyFont="1" applyFill="1" applyBorder="1" applyProtection="1">
      <protection hidden="1"/>
    </xf>
    <xf numFmtId="0" fontId="20" fillId="12" borderId="64" xfId="0" applyFont="1" applyFill="1" applyBorder="1" applyProtection="1">
      <protection hidden="1"/>
    </xf>
    <xf numFmtId="0" fontId="33" fillId="12" borderId="35" xfId="4" applyFont="1" applyFill="1" applyBorder="1" applyAlignment="1" applyProtection="1">
      <alignment horizontal="left" vertical="center"/>
      <protection hidden="1"/>
    </xf>
    <xf numFmtId="0" fontId="0" fillId="8" borderId="0" xfId="0" applyFill="1" applyProtection="1">
      <protection hidden="1"/>
    </xf>
    <xf numFmtId="0" fontId="0" fillId="8" borderId="0" xfId="0" applyFill="1" applyAlignment="1" applyProtection="1">
      <alignment wrapText="1" shrinkToFit="1"/>
      <protection hidden="1"/>
    </xf>
    <xf numFmtId="0" fontId="12" fillId="8" borderId="0" xfId="0" applyFont="1" applyFill="1" applyAlignment="1" applyProtection="1">
      <alignment wrapText="1" shrinkToFit="1"/>
      <protection hidden="1"/>
    </xf>
    <xf numFmtId="0" fontId="31" fillId="8" borderId="0" xfId="4" applyFont="1" applyFill="1" applyProtection="1">
      <protection hidden="1"/>
    </xf>
    <xf numFmtId="0" fontId="19" fillId="8" borderId="0" xfId="0" applyFont="1" applyFill="1" applyProtection="1">
      <protection hidden="1"/>
    </xf>
    <xf numFmtId="0" fontId="22" fillId="8" borderId="0" xfId="4" applyFont="1" applyFill="1" applyProtection="1">
      <protection hidden="1"/>
    </xf>
    <xf numFmtId="0" fontId="23" fillId="8" borderId="0" xfId="4" applyFont="1" applyFill="1" applyProtection="1">
      <protection hidden="1"/>
    </xf>
    <xf numFmtId="0" fontId="28" fillId="8" borderId="0" xfId="4" applyFont="1" applyFill="1" applyProtection="1">
      <protection hidden="1"/>
    </xf>
    <xf numFmtId="0" fontId="20" fillId="8" borderId="0" xfId="0" applyFont="1" applyFill="1" applyProtection="1">
      <protection hidden="1"/>
    </xf>
    <xf numFmtId="0" fontId="25" fillId="0" borderId="3" xfId="0" applyFont="1" applyBorder="1" applyAlignment="1" applyProtection="1">
      <alignment horizontal="left" vertical="center"/>
      <protection hidden="1"/>
    </xf>
    <xf numFmtId="0" fontId="25" fillId="0" borderId="2" xfId="0" applyFont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4" fillId="5" borderId="26" xfId="1" applyFont="1" applyFill="1" applyBorder="1" applyAlignment="1" applyProtection="1">
      <alignment horizontal="center" vertical="center"/>
      <protection hidden="1"/>
    </xf>
    <xf numFmtId="0" fontId="5" fillId="5" borderId="56" xfId="2" applyFont="1" applyFill="1" applyBorder="1" applyAlignment="1" applyProtection="1">
      <alignment horizontal="center" vertical="center"/>
      <protection hidden="1"/>
    </xf>
    <xf numFmtId="0" fontId="6" fillId="0" borderId="40" xfId="0" applyFont="1" applyBorder="1" applyProtection="1">
      <protection hidden="1"/>
    </xf>
    <xf numFmtId="164" fontId="6" fillId="13" borderId="39" xfId="1" applyNumberFormat="1" applyFont="1" applyFill="1" applyBorder="1" applyAlignment="1" applyProtection="1">
      <alignment horizontal="left" vertical="top"/>
      <protection hidden="1"/>
    </xf>
    <xf numFmtId="164" fontId="6" fillId="13" borderId="9" xfId="1" applyNumberFormat="1" applyFont="1" applyFill="1" applyBorder="1" applyAlignment="1" applyProtection="1">
      <alignment horizontal="left" vertical="top"/>
      <protection hidden="1"/>
    </xf>
    <xf numFmtId="0" fontId="6" fillId="0" borderId="13" xfId="0" applyFont="1" applyBorder="1" applyProtection="1">
      <protection hidden="1"/>
    </xf>
    <xf numFmtId="165" fontId="8" fillId="8" borderId="6" xfId="1" applyNumberFormat="1" applyFont="1" applyFill="1" applyBorder="1" applyAlignment="1" applyProtection="1">
      <alignment horizontal="left" vertical="center"/>
      <protection hidden="1"/>
    </xf>
    <xf numFmtId="169" fontId="0" fillId="0" borderId="0" xfId="0" applyNumberFormat="1" applyProtection="1">
      <protection hidden="1"/>
    </xf>
    <xf numFmtId="166" fontId="8" fillId="8" borderId="51" xfId="0" applyNumberFormat="1" applyFont="1" applyFill="1" applyBorder="1" applyAlignment="1" applyProtection="1">
      <alignment horizontal="left" vertical="center"/>
      <protection hidden="1"/>
    </xf>
    <xf numFmtId="0" fontId="0" fillId="0" borderId="52" xfId="0" applyBorder="1" applyProtection="1">
      <protection hidden="1"/>
    </xf>
    <xf numFmtId="0" fontId="9" fillId="5" borderId="33" xfId="1" applyFont="1" applyFill="1" applyBorder="1" applyAlignment="1" applyProtection="1">
      <alignment horizontal="left" vertical="center"/>
      <protection hidden="1"/>
    </xf>
    <xf numFmtId="10" fontId="11" fillId="8" borderId="10" xfId="0" applyNumberFormat="1" applyFont="1" applyFill="1" applyBorder="1" applyAlignment="1" applyProtection="1">
      <alignment horizontal="left" vertical="center"/>
      <protection hidden="1"/>
    </xf>
    <xf numFmtId="10" fontId="11" fillId="8" borderId="14" xfId="1" applyNumberFormat="1" applyFont="1" applyFill="1" applyBorder="1" applyAlignment="1" applyProtection="1">
      <alignment horizontal="left" vertical="center"/>
      <protection hidden="1"/>
    </xf>
    <xf numFmtId="167" fontId="6" fillId="9" borderId="33" xfId="1" applyNumberFormat="1" applyFont="1" applyFill="1" applyBorder="1" applyAlignment="1" applyProtection="1">
      <alignment horizontal="center" vertical="center" wrapText="1"/>
      <protection hidden="1"/>
    </xf>
    <xf numFmtId="166" fontId="11" fillId="8" borderId="44" xfId="1" applyNumberFormat="1" applyFont="1" applyFill="1" applyBorder="1" applyAlignment="1" applyProtection="1">
      <alignment horizontal="left" vertical="center"/>
      <protection hidden="1"/>
    </xf>
    <xf numFmtId="166" fontId="29" fillId="8" borderId="40" xfId="3" applyNumberFormat="1" applyFont="1" applyFill="1" applyBorder="1" applyAlignment="1" applyProtection="1">
      <alignment horizontal="center" vertical="center"/>
      <protection hidden="1"/>
    </xf>
    <xf numFmtId="166" fontId="29" fillId="8" borderId="22" xfId="3" applyNumberFormat="1" applyFont="1" applyFill="1" applyBorder="1" applyAlignment="1" applyProtection="1">
      <alignment horizontal="center" vertical="center"/>
      <protection hidden="1"/>
    </xf>
    <xf numFmtId="166" fontId="6" fillId="0" borderId="13" xfId="0" applyNumberFormat="1" applyFont="1" applyBorder="1" applyAlignment="1" applyProtection="1">
      <alignment vertical="center"/>
      <protection hidden="1"/>
    </xf>
    <xf numFmtId="166" fontId="7" fillId="8" borderId="13" xfId="3" applyNumberFormat="1" applyFont="1" applyFill="1" applyBorder="1" applyAlignment="1" applyProtection="1">
      <alignment horizontal="center" vertical="center"/>
      <protection hidden="1"/>
    </xf>
    <xf numFmtId="166" fontId="7" fillId="8" borderId="23" xfId="3" applyNumberFormat="1" applyFont="1" applyFill="1" applyBorder="1" applyAlignment="1" applyProtection="1">
      <alignment horizontal="center" vertical="center"/>
      <protection hidden="1"/>
    </xf>
    <xf numFmtId="166" fontId="6" fillId="0" borderId="13" xfId="0" applyNumberFormat="1" applyFont="1" applyBorder="1" applyProtection="1">
      <protection hidden="1"/>
    </xf>
    <xf numFmtId="166" fontId="8" fillId="0" borderId="13" xfId="0" applyNumberFormat="1" applyFont="1" applyBorder="1" applyProtection="1">
      <protection hidden="1"/>
    </xf>
    <xf numFmtId="166" fontId="11" fillId="8" borderId="45" xfId="1" applyNumberFormat="1" applyFont="1" applyFill="1" applyBorder="1" applyAlignment="1" applyProtection="1">
      <alignment horizontal="left" vertical="center"/>
      <protection hidden="1"/>
    </xf>
    <xf numFmtId="166" fontId="7" fillId="8" borderId="46" xfId="3" applyNumberFormat="1" applyFont="1" applyFill="1" applyBorder="1" applyAlignment="1" applyProtection="1">
      <alignment horizontal="center" vertical="center"/>
      <protection hidden="1"/>
    </xf>
    <xf numFmtId="166" fontId="7" fillId="8" borderId="61" xfId="3" applyNumberFormat="1" applyFont="1" applyFill="1" applyBorder="1" applyAlignment="1" applyProtection="1">
      <alignment horizontal="center" vertical="center"/>
      <protection hidden="1"/>
    </xf>
    <xf numFmtId="0" fontId="9" fillId="5" borderId="40" xfId="1" applyFont="1" applyFill="1" applyBorder="1" applyAlignment="1" applyProtection="1">
      <alignment horizontal="left" vertical="center"/>
      <protection hidden="1"/>
    </xf>
    <xf numFmtId="0" fontId="9" fillId="5" borderId="13" xfId="1" applyFont="1" applyFill="1" applyBorder="1" applyAlignment="1" applyProtection="1">
      <alignment horizontal="left" vertical="center"/>
      <protection hidden="1"/>
    </xf>
    <xf numFmtId="166" fontId="7" fillId="11" borderId="13" xfId="0" applyNumberFormat="1" applyFont="1" applyFill="1" applyBorder="1" applyAlignment="1" applyProtection="1">
      <alignment horizontal="center" vertical="center"/>
      <protection hidden="1"/>
    </xf>
    <xf numFmtId="166" fontId="7" fillId="11" borderId="23" xfId="0" applyNumberFormat="1" applyFont="1" applyFill="1" applyBorder="1" applyAlignment="1" applyProtection="1">
      <alignment horizontal="center" vertical="center"/>
      <protection hidden="1"/>
    </xf>
    <xf numFmtId="0" fontId="8" fillId="0" borderId="13" xfId="0" applyFont="1" applyBorder="1" applyProtection="1">
      <protection hidden="1"/>
    </xf>
    <xf numFmtId="0" fontId="9" fillId="5" borderId="46" xfId="1" applyFont="1" applyFill="1" applyBorder="1" applyAlignment="1" applyProtection="1">
      <alignment horizontal="left" vertical="center"/>
      <protection hidden="1"/>
    </xf>
    <xf numFmtId="166" fontId="7" fillId="11" borderId="46" xfId="0" applyNumberFormat="1" applyFont="1" applyFill="1" applyBorder="1" applyAlignment="1" applyProtection="1">
      <alignment horizontal="center" vertical="center"/>
      <protection hidden="1"/>
    </xf>
    <xf numFmtId="166" fontId="7" fillId="11" borderId="47" xfId="0" applyNumberFormat="1" applyFont="1" applyFill="1" applyBorder="1" applyAlignment="1" applyProtection="1">
      <alignment horizontal="center" vertical="center"/>
      <protection hidden="1"/>
    </xf>
    <xf numFmtId="166" fontId="7" fillId="11" borderId="61" xfId="0" applyNumberFormat="1" applyFont="1" applyFill="1" applyBorder="1" applyAlignment="1" applyProtection="1">
      <alignment horizontal="center" vertical="center"/>
      <protection hidden="1"/>
    </xf>
    <xf numFmtId="0" fontId="20" fillId="0" borderId="15" xfId="0" applyFont="1" applyBorder="1" applyAlignment="1" applyProtection="1">
      <alignment horizontal="left" vertical="top"/>
      <protection hidden="1"/>
    </xf>
    <xf numFmtId="0" fontId="19" fillId="10" borderId="0" xfId="0" applyFont="1" applyFill="1" applyBorder="1" applyAlignment="1" applyProtection="1">
      <alignment horizontal="right" vertical="center"/>
      <protection hidden="1"/>
    </xf>
    <xf numFmtId="0" fontId="19" fillId="10" borderId="0" xfId="0" applyFont="1" applyFill="1" applyBorder="1" applyAlignment="1" applyProtection="1">
      <alignment horizontal="left" vertical="center"/>
      <protection hidden="1"/>
    </xf>
    <xf numFmtId="0" fontId="26" fillId="10" borderId="0" xfId="0" applyFont="1" applyFill="1" applyBorder="1" applyProtection="1">
      <protection hidden="1"/>
    </xf>
    <xf numFmtId="0" fontId="20" fillId="10" borderId="0" xfId="0" applyFont="1" applyFill="1" applyBorder="1" applyProtection="1">
      <protection hidden="1"/>
    </xf>
    <xf numFmtId="0" fontId="0" fillId="10" borderId="0" xfId="0" applyFill="1" applyBorder="1" applyProtection="1">
      <protection hidden="1"/>
    </xf>
    <xf numFmtId="0" fontId="18" fillId="0" borderId="40" xfId="0" applyFont="1" applyBorder="1" applyProtection="1"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left" vertical="top"/>
      <protection hidden="1"/>
    </xf>
    <xf numFmtId="0" fontId="8" fillId="0" borderId="15" xfId="0" applyFont="1" applyBorder="1" applyAlignment="1" applyProtection="1">
      <alignment horizontal="left" vertical="top"/>
      <protection hidden="1"/>
    </xf>
    <xf numFmtId="164" fontId="6" fillId="7" borderId="6" xfId="1" applyNumberFormat="1" applyFont="1" applyFill="1" applyBorder="1" applyAlignment="1" applyProtection="1">
      <alignment horizontal="left" vertical="top"/>
      <protection locked="0"/>
    </xf>
    <xf numFmtId="1" fontId="6" fillId="7" borderId="9" xfId="1" applyNumberFormat="1" applyFont="1" applyFill="1" applyBorder="1" applyAlignment="1" applyProtection="1">
      <alignment horizontal="left" vertical="top"/>
      <protection locked="0"/>
    </xf>
    <xf numFmtId="170" fontId="24" fillId="13" borderId="38" xfId="0" applyNumberFormat="1" applyFont="1" applyFill="1" applyBorder="1" applyAlignment="1" applyProtection="1">
      <alignment horizontal="center" vertical="center"/>
      <protection locked="0"/>
    </xf>
    <xf numFmtId="170" fontId="24" fillId="13" borderId="57" xfId="0" applyNumberFormat="1" applyFont="1" applyFill="1" applyBorder="1" applyAlignment="1" applyProtection="1">
      <alignment horizontal="center" vertical="center"/>
      <protection locked="0"/>
    </xf>
    <xf numFmtId="170" fontId="24" fillId="13" borderId="8" xfId="0" applyNumberFormat="1" applyFont="1" applyFill="1" applyBorder="1" applyAlignment="1" applyProtection="1">
      <alignment horizontal="center" vertical="center"/>
      <protection locked="0"/>
    </xf>
    <xf numFmtId="170" fontId="24" fillId="13" borderId="58" xfId="0" applyNumberFormat="1" applyFont="1" applyFill="1" applyBorder="1" applyAlignment="1" applyProtection="1">
      <alignment horizontal="center" vertical="center"/>
      <protection locked="0"/>
    </xf>
  </cellXfs>
  <cellStyles count="5">
    <cellStyle name="Bad" xfId="2" builtinId="27"/>
    <cellStyle name="Calculation" xfId="3" builtinId="22"/>
    <cellStyle name="Good" xfId="1" builtinId="26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2.jpeg"/><Relationship Id="rId1" Type="http://schemas.openxmlformats.org/officeDocument/2006/relationships/image" Target="../media/image10.jpeg"/><Relationship Id="rId4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5" Type="http://schemas.openxmlformats.org/officeDocument/2006/relationships/image" Target="../media/image6.png"/><Relationship Id="rId4" Type="http://schemas.openxmlformats.org/officeDocument/2006/relationships/image" Target="../media/image20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s://www.bitmex.com/register/fFsWc3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3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6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6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14.jpe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5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6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6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6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7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6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8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6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9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6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1120140</xdr:colOff>
      <xdr:row>0</xdr:row>
      <xdr:rowOff>0</xdr:rowOff>
    </xdr:from>
    <xdr:to>
      <xdr:col>2</xdr:col>
      <xdr:colOff>1838476</xdr:colOff>
      <xdr:row>0</xdr:row>
      <xdr:rowOff>758861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6B6AF9D-D2BC-4B1F-8918-B3DDCB831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460" y="0"/>
          <a:ext cx="723900" cy="758861"/>
        </a:xfrm>
        <a:prstGeom prst="rect">
          <a:avLst/>
        </a:prstGeom>
      </xdr:spPr>
    </xdr:pic>
    <xdr:clientData/>
  </xdr:twoCellAnchor>
  <xdr:twoCellAnchor editAs="oneCell">
    <xdr:from>
      <xdr:col>4</xdr:col>
      <xdr:colOff>1112520</xdr:colOff>
      <xdr:row>0</xdr:row>
      <xdr:rowOff>23374</xdr:rowOff>
    </xdr:from>
    <xdr:to>
      <xdr:col>4</xdr:col>
      <xdr:colOff>1889760</xdr:colOff>
      <xdr:row>0</xdr:row>
      <xdr:rowOff>791881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33867E8-E05F-450E-905B-20633BFB5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9840" y="23374"/>
          <a:ext cx="777240" cy="768507"/>
        </a:xfrm>
        <a:prstGeom prst="rect">
          <a:avLst/>
        </a:prstGeom>
      </xdr:spPr>
    </xdr:pic>
    <xdr:clientData/>
  </xdr:twoCellAnchor>
  <xdr:twoCellAnchor editAs="oneCell">
    <xdr:from>
      <xdr:col>1</xdr:col>
      <xdr:colOff>1028700</xdr:colOff>
      <xdr:row>0</xdr:row>
      <xdr:rowOff>18288</xdr:rowOff>
    </xdr:from>
    <xdr:to>
      <xdr:col>1</xdr:col>
      <xdr:colOff>1950720</xdr:colOff>
      <xdr:row>0</xdr:row>
      <xdr:rowOff>708660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0B7B3B1-F1A5-46EA-9D68-9201CE7BE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0060" y="18288"/>
          <a:ext cx="922020" cy="690372"/>
        </a:xfrm>
        <a:prstGeom prst="rect">
          <a:avLst/>
        </a:prstGeom>
      </xdr:spPr>
    </xdr:pic>
    <xdr:clientData/>
  </xdr:twoCellAnchor>
  <xdr:twoCellAnchor editAs="oneCell">
    <xdr:from>
      <xdr:col>3</xdr:col>
      <xdr:colOff>937259</xdr:colOff>
      <xdr:row>0</xdr:row>
      <xdr:rowOff>71628</xdr:rowOff>
    </xdr:from>
    <xdr:to>
      <xdr:col>3</xdr:col>
      <xdr:colOff>1897946</xdr:colOff>
      <xdr:row>0</xdr:row>
      <xdr:rowOff>739140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145A465-2844-4479-B8D0-A35317CE6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1959" y="71628"/>
          <a:ext cx="960687" cy="667512"/>
        </a:xfrm>
        <a:prstGeom prst="rect">
          <a:avLst/>
        </a:prstGeom>
      </xdr:spPr>
    </xdr:pic>
    <xdr:clientData/>
  </xdr:twoCellAnchor>
  <xdr:twoCellAnchor editAs="oneCell">
    <xdr:from>
      <xdr:col>0</xdr:col>
      <xdr:colOff>1759</xdr:colOff>
      <xdr:row>0</xdr:row>
      <xdr:rowOff>0</xdr:rowOff>
    </xdr:from>
    <xdr:to>
      <xdr:col>0</xdr:col>
      <xdr:colOff>1474959</xdr:colOff>
      <xdr:row>0</xdr:row>
      <xdr:rowOff>796712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9B63052-E2FD-4B16-8959-3E3317340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9" y="0"/>
          <a:ext cx="1473200" cy="796712"/>
        </a:xfrm>
        <a:prstGeom prst="rect">
          <a:avLst/>
        </a:prstGeom>
      </xdr:spPr>
    </xdr:pic>
    <xdr:clientData/>
  </xdr:twoCellAnchor>
  <xdr:twoCellAnchor editAs="oneCell">
    <xdr:from>
      <xdr:col>0</xdr:col>
      <xdr:colOff>1617785</xdr:colOff>
      <xdr:row>0</xdr:row>
      <xdr:rowOff>46892</xdr:rowOff>
    </xdr:from>
    <xdr:to>
      <xdr:col>0</xdr:col>
      <xdr:colOff>2309447</xdr:colOff>
      <xdr:row>0</xdr:row>
      <xdr:rowOff>738554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C60C7B-FB14-4E10-8882-8AE7BC8AD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7785" y="46892"/>
          <a:ext cx="691662" cy="691662"/>
        </a:xfrm>
        <a:prstGeom prst="rect">
          <a:avLst/>
        </a:prstGeom>
      </xdr:spPr>
    </xdr:pic>
    <xdr:clientData/>
  </xdr:twoCellAnchor>
  <xdr:twoCellAnchor editAs="oneCell">
    <xdr:from>
      <xdr:col>0</xdr:col>
      <xdr:colOff>2344614</xdr:colOff>
      <xdr:row>0</xdr:row>
      <xdr:rowOff>35168</xdr:rowOff>
    </xdr:from>
    <xdr:to>
      <xdr:col>0</xdr:col>
      <xdr:colOff>3518832</xdr:colOff>
      <xdr:row>0</xdr:row>
      <xdr:rowOff>773722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9D8E46-83F9-4664-9CF5-5F2A0F89F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614" y="35168"/>
          <a:ext cx="1174218" cy="73855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1170215</xdr:colOff>
      <xdr:row>0</xdr:row>
      <xdr:rowOff>311475</xdr:rowOff>
    </xdr:from>
    <xdr:to>
      <xdr:col>1</xdr:col>
      <xdr:colOff>1883229</xdr:colOff>
      <xdr:row>0</xdr:row>
      <xdr:rowOff>870856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70BC74-85C6-478D-9511-2E9FFA1BF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3758" y="311475"/>
          <a:ext cx="713014" cy="559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1809750</xdr:colOff>
      <xdr:row>0</xdr:row>
      <xdr:rowOff>1164770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4793573-0472-438D-B805-3F66A98E3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116477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1905001</xdr:colOff>
      <xdr:row>0</xdr:row>
      <xdr:rowOff>253094</xdr:rowOff>
    </xdr:from>
    <xdr:to>
      <xdr:col>0</xdr:col>
      <xdr:colOff>2884714</xdr:colOff>
      <xdr:row>0</xdr:row>
      <xdr:rowOff>985158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7EECAAE-6D86-450C-A6FC-788C1A18D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1" y="253094"/>
          <a:ext cx="979713" cy="732064"/>
        </a:xfrm>
        <a:prstGeom prst="rect">
          <a:avLst/>
        </a:prstGeom>
      </xdr:spPr>
    </xdr:pic>
    <xdr:clientData/>
  </xdr:twoCellAnchor>
  <xdr:twoCellAnchor editAs="oneCell">
    <xdr:from>
      <xdr:col>0</xdr:col>
      <xdr:colOff>2945131</xdr:colOff>
      <xdr:row>0</xdr:row>
      <xdr:rowOff>288473</xdr:rowOff>
    </xdr:from>
    <xdr:to>
      <xdr:col>0</xdr:col>
      <xdr:colOff>3805911</xdr:colOff>
      <xdr:row>0</xdr:row>
      <xdr:rowOff>870858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E99ECCA-F814-4789-9BE5-7536F62D4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5131" y="288473"/>
          <a:ext cx="860780" cy="582385"/>
        </a:xfrm>
        <a:prstGeom prst="rect">
          <a:avLst/>
        </a:prstGeom>
      </xdr:spPr>
    </xdr:pic>
    <xdr:clientData/>
  </xdr:twoCellAnchor>
  <xdr:oneCellAnchor>
    <xdr:from>
      <xdr:col>2</xdr:col>
      <xdr:colOff>1115786</xdr:colOff>
      <xdr:row>0</xdr:row>
      <xdr:rowOff>344133</xdr:rowOff>
    </xdr:from>
    <xdr:ext cx="713014" cy="559381"/>
    <xdr:pic>
      <xdr:nvPicPr>
        <xdr:cNvPr id="12" name="Picture 11">
          <a:extLst>
            <a:ext uri="{FF2B5EF4-FFF2-40B4-BE49-F238E27FC236}">
              <a16:creationId xmlns:a16="http://schemas.microsoft.com/office/drawing/2014/main" id="{009542E3-4816-4431-92B4-29B0FE0DC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986" y="344133"/>
          <a:ext cx="713014" cy="559381"/>
        </a:xfrm>
        <a:prstGeom prst="rect">
          <a:avLst/>
        </a:prstGeom>
      </xdr:spPr>
    </xdr:pic>
    <xdr:clientData/>
  </xdr:oneCellAnchor>
  <xdr:oneCellAnchor>
    <xdr:from>
      <xdr:col>3</xdr:col>
      <xdr:colOff>1159330</xdr:colOff>
      <xdr:row>0</xdr:row>
      <xdr:rowOff>309661</xdr:rowOff>
    </xdr:from>
    <xdr:ext cx="713014" cy="559381"/>
    <xdr:pic>
      <xdr:nvPicPr>
        <xdr:cNvPr id="13" name="Picture 12">
          <a:extLst>
            <a:ext uri="{FF2B5EF4-FFF2-40B4-BE49-F238E27FC236}">
              <a16:creationId xmlns:a16="http://schemas.microsoft.com/office/drawing/2014/main" id="{10709A8E-4FA7-4C24-8524-82445FA0E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9330" y="309661"/>
          <a:ext cx="713014" cy="559381"/>
        </a:xfrm>
        <a:prstGeom prst="rect">
          <a:avLst/>
        </a:prstGeom>
      </xdr:spPr>
    </xdr:pic>
    <xdr:clientData/>
  </xdr:oneCellAnchor>
  <xdr:oneCellAnchor>
    <xdr:from>
      <xdr:col>4</xdr:col>
      <xdr:colOff>1246414</xdr:colOff>
      <xdr:row>0</xdr:row>
      <xdr:rowOff>322361</xdr:rowOff>
    </xdr:from>
    <xdr:ext cx="760185" cy="559381"/>
    <xdr:pic>
      <xdr:nvPicPr>
        <xdr:cNvPr id="14" name="Picture 13">
          <a:extLst>
            <a:ext uri="{FF2B5EF4-FFF2-40B4-BE49-F238E27FC236}">
              <a16:creationId xmlns:a16="http://schemas.microsoft.com/office/drawing/2014/main" id="{29B0ADF3-2679-417D-9CD0-A46A1FCE8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8714" y="322361"/>
          <a:ext cx="760185" cy="55938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1120140</xdr:colOff>
      <xdr:row>0</xdr:row>
      <xdr:rowOff>1</xdr:rowOff>
    </xdr:from>
    <xdr:to>
      <xdr:col>2</xdr:col>
      <xdr:colOff>1846580</xdr:colOff>
      <xdr:row>0</xdr:row>
      <xdr:rowOff>762001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901D90-2F34-4EE1-8809-73DDB0FA1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4440" y="1"/>
          <a:ext cx="72644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1028700</xdr:colOff>
      <xdr:row>0</xdr:row>
      <xdr:rowOff>18288</xdr:rowOff>
    </xdr:from>
    <xdr:to>
      <xdr:col>1</xdr:col>
      <xdr:colOff>1950720</xdr:colOff>
      <xdr:row>0</xdr:row>
      <xdr:rowOff>635000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65B4AE-E890-45E9-AD67-A9168AE30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900" y="18288"/>
          <a:ext cx="922020" cy="616712"/>
        </a:xfrm>
        <a:prstGeom prst="rect">
          <a:avLst/>
        </a:prstGeom>
      </xdr:spPr>
    </xdr:pic>
    <xdr:clientData/>
  </xdr:twoCellAnchor>
  <xdr:twoCellAnchor editAs="oneCell">
    <xdr:from>
      <xdr:col>0</xdr:col>
      <xdr:colOff>1758</xdr:colOff>
      <xdr:row>0</xdr:row>
      <xdr:rowOff>0</xdr:rowOff>
    </xdr:from>
    <xdr:to>
      <xdr:col>0</xdr:col>
      <xdr:colOff>2095500</xdr:colOff>
      <xdr:row>0</xdr:row>
      <xdr:rowOff>965200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4C7A30D-96C5-4014-9664-D51D527ED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" y="0"/>
          <a:ext cx="2093742" cy="9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2163885</xdr:colOff>
      <xdr:row>0</xdr:row>
      <xdr:rowOff>123092</xdr:rowOff>
    </xdr:from>
    <xdr:to>
      <xdr:col>0</xdr:col>
      <xdr:colOff>2855547</xdr:colOff>
      <xdr:row>0</xdr:row>
      <xdr:rowOff>889000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A053B5C-F4A4-4E2F-9FAF-D9B5F63F7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3885" y="123092"/>
          <a:ext cx="691662" cy="765908"/>
        </a:xfrm>
        <a:prstGeom prst="rect">
          <a:avLst/>
        </a:prstGeom>
      </xdr:spPr>
    </xdr:pic>
    <xdr:clientData/>
  </xdr:twoCellAnchor>
  <xdr:twoCellAnchor editAs="oneCell">
    <xdr:from>
      <xdr:col>0</xdr:col>
      <xdr:colOff>2903414</xdr:colOff>
      <xdr:row>0</xdr:row>
      <xdr:rowOff>73268</xdr:rowOff>
    </xdr:from>
    <xdr:to>
      <xdr:col>0</xdr:col>
      <xdr:colOff>3860800</xdr:colOff>
      <xdr:row>0</xdr:row>
      <xdr:rowOff>893688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D4C3781-BC40-4491-8F5C-D1474C751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414" y="73268"/>
          <a:ext cx="957386" cy="820420"/>
        </a:xfrm>
        <a:prstGeom prst="rect">
          <a:avLst/>
        </a:prstGeom>
      </xdr:spPr>
    </xdr:pic>
    <xdr:clientData/>
  </xdr:twoCellAnchor>
  <xdr:oneCellAnchor>
    <xdr:from>
      <xdr:col>2</xdr:col>
      <xdr:colOff>1028700</xdr:colOff>
      <xdr:row>0</xdr:row>
      <xdr:rowOff>18288</xdr:rowOff>
    </xdr:from>
    <xdr:ext cx="922020" cy="616712"/>
    <xdr:pic>
      <xdr:nvPicPr>
        <xdr:cNvPr id="9" name="Picture 8">
          <a:extLst>
            <a:ext uri="{FF2B5EF4-FFF2-40B4-BE49-F238E27FC236}">
              <a16:creationId xmlns:a16="http://schemas.microsoft.com/office/drawing/2014/main" id="{5750DE1F-AFD3-48F3-8B43-020F19C5E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900" y="18288"/>
          <a:ext cx="922020" cy="616712"/>
        </a:xfrm>
        <a:prstGeom prst="rect">
          <a:avLst/>
        </a:prstGeom>
      </xdr:spPr>
    </xdr:pic>
    <xdr:clientData/>
  </xdr:oneCellAnchor>
  <xdr:oneCellAnchor>
    <xdr:from>
      <xdr:col>3</xdr:col>
      <xdr:colOff>1028700</xdr:colOff>
      <xdr:row>0</xdr:row>
      <xdr:rowOff>18288</xdr:rowOff>
    </xdr:from>
    <xdr:ext cx="922020" cy="616712"/>
    <xdr:pic>
      <xdr:nvPicPr>
        <xdr:cNvPr id="10" name="Picture 9">
          <a:extLst>
            <a:ext uri="{FF2B5EF4-FFF2-40B4-BE49-F238E27FC236}">
              <a16:creationId xmlns:a16="http://schemas.microsoft.com/office/drawing/2014/main" id="{625306EA-C54A-4137-A99B-16DEE9D7B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900" y="18288"/>
          <a:ext cx="922020" cy="616712"/>
        </a:xfrm>
        <a:prstGeom prst="rect">
          <a:avLst/>
        </a:prstGeom>
      </xdr:spPr>
    </xdr:pic>
    <xdr:clientData/>
  </xdr:oneCellAnchor>
  <xdr:oneCellAnchor>
    <xdr:from>
      <xdr:col>4</xdr:col>
      <xdr:colOff>1028700</xdr:colOff>
      <xdr:row>0</xdr:row>
      <xdr:rowOff>18288</xdr:rowOff>
    </xdr:from>
    <xdr:ext cx="922020" cy="616712"/>
    <xdr:pic>
      <xdr:nvPicPr>
        <xdr:cNvPr id="11" name="Picture 10">
          <a:extLst>
            <a:ext uri="{FF2B5EF4-FFF2-40B4-BE49-F238E27FC236}">
              <a16:creationId xmlns:a16="http://schemas.microsoft.com/office/drawing/2014/main" id="{400CF8F8-5E31-47BE-B297-18F0CF7AC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900" y="18288"/>
          <a:ext cx="922020" cy="61671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0</xdr:col>
      <xdr:colOff>5676900</xdr:colOff>
      <xdr:row>8</xdr:row>
      <xdr:rowOff>35356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D5AF8-E77B-4288-8241-9F6C4110C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7620"/>
          <a:ext cx="5669280" cy="1993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1320800</xdr:colOff>
      <xdr:row>0</xdr:row>
      <xdr:rowOff>92530</xdr:rowOff>
    </xdr:from>
    <xdr:to>
      <xdr:col>2</xdr:col>
      <xdr:colOff>1992812</xdr:colOff>
      <xdr:row>0</xdr:row>
      <xdr:rowOff>736600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6D81B3-1581-41AC-8051-EFA1B490D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8900" y="92530"/>
          <a:ext cx="672012" cy="64407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1270000</xdr:colOff>
      <xdr:row>0</xdr:row>
      <xdr:rowOff>76199</xdr:rowOff>
    </xdr:from>
    <xdr:to>
      <xdr:col>4</xdr:col>
      <xdr:colOff>1973580</xdr:colOff>
      <xdr:row>0</xdr:row>
      <xdr:rowOff>694716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37A7C2-1CD1-47EE-9E62-5E034AFB7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1800" y="76199"/>
          <a:ext cx="703580" cy="618517"/>
        </a:xfrm>
        <a:prstGeom prst="rect">
          <a:avLst/>
        </a:prstGeom>
      </xdr:spPr>
    </xdr:pic>
    <xdr:clientData/>
  </xdr:twoCellAnchor>
  <xdr:twoCellAnchor editAs="oneCell">
    <xdr:from>
      <xdr:col>1</xdr:col>
      <xdr:colOff>1231900</xdr:colOff>
      <xdr:row>0</xdr:row>
      <xdr:rowOff>110090</xdr:rowOff>
    </xdr:from>
    <xdr:to>
      <xdr:col>1</xdr:col>
      <xdr:colOff>2057400</xdr:colOff>
      <xdr:row>0</xdr:row>
      <xdr:rowOff>698500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76D0F0-D3B8-4CD3-B35A-C2A1635CD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1800" y="110090"/>
          <a:ext cx="825500" cy="588410"/>
        </a:xfrm>
        <a:prstGeom prst="rect">
          <a:avLst/>
        </a:prstGeom>
      </xdr:spPr>
    </xdr:pic>
    <xdr:clientData/>
  </xdr:twoCellAnchor>
  <xdr:twoCellAnchor editAs="oneCell">
    <xdr:from>
      <xdr:col>3</xdr:col>
      <xdr:colOff>1169058</xdr:colOff>
      <xdr:row>0</xdr:row>
      <xdr:rowOff>121521</xdr:rowOff>
    </xdr:from>
    <xdr:to>
      <xdr:col>3</xdr:col>
      <xdr:colOff>2040164</xdr:colOff>
      <xdr:row>0</xdr:row>
      <xdr:rowOff>670379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81C407-C4CA-40BC-B5AD-0CCD8F499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3458" y="121521"/>
          <a:ext cx="871106" cy="5488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1809750</xdr:colOff>
      <xdr:row>1</xdr:row>
      <xdr:rowOff>13606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063D15-A20F-47B7-8DC7-F92FED765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996586"/>
        </a:xfrm>
        <a:prstGeom prst="rect">
          <a:avLst/>
        </a:prstGeom>
      </xdr:spPr>
    </xdr:pic>
    <xdr:clientData/>
  </xdr:twoCellAnchor>
  <xdr:twoCellAnchor editAs="oneCell">
    <xdr:from>
      <xdr:col>0</xdr:col>
      <xdr:colOff>3012514</xdr:colOff>
      <xdr:row>0</xdr:row>
      <xdr:rowOff>101600</xdr:rowOff>
    </xdr:from>
    <xdr:to>
      <xdr:col>0</xdr:col>
      <xdr:colOff>4163788</xdr:colOff>
      <xdr:row>0</xdr:row>
      <xdr:rowOff>884465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E9570E1-6F49-47AA-9F1A-22BFA065D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2514" y="101600"/>
          <a:ext cx="1151274" cy="782865"/>
        </a:xfrm>
        <a:prstGeom prst="rect">
          <a:avLst/>
        </a:prstGeom>
      </xdr:spPr>
    </xdr:pic>
    <xdr:clientData/>
  </xdr:twoCellAnchor>
  <xdr:twoCellAnchor editAs="oneCell">
    <xdr:from>
      <xdr:col>0</xdr:col>
      <xdr:colOff>2006600</xdr:colOff>
      <xdr:row>0</xdr:row>
      <xdr:rowOff>101600</xdr:rowOff>
    </xdr:from>
    <xdr:to>
      <xdr:col>0</xdr:col>
      <xdr:colOff>3086100</xdr:colOff>
      <xdr:row>0</xdr:row>
      <xdr:rowOff>844656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C95D8F6-1455-4251-9AD1-94E628377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600" y="101600"/>
          <a:ext cx="1079500" cy="7430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1397000</xdr:colOff>
      <xdr:row>0</xdr:row>
      <xdr:rowOff>29030</xdr:rowOff>
    </xdr:from>
    <xdr:to>
      <xdr:col>2</xdr:col>
      <xdr:colOff>2069012</xdr:colOff>
      <xdr:row>0</xdr:row>
      <xdr:rowOff>673100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33A6C4B-1165-4BF1-A0A7-A7745EE6E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8200" y="29030"/>
          <a:ext cx="672012" cy="64407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1270000</xdr:colOff>
      <xdr:row>0</xdr:row>
      <xdr:rowOff>76199</xdr:rowOff>
    </xdr:from>
    <xdr:to>
      <xdr:col>4</xdr:col>
      <xdr:colOff>1973580</xdr:colOff>
      <xdr:row>0</xdr:row>
      <xdr:rowOff>694716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08B7025-B262-4069-9A89-35109CF94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0" y="76199"/>
          <a:ext cx="703580" cy="618517"/>
        </a:xfrm>
        <a:prstGeom prst="rect">
          <a:avLst/>
        </a:prstGeom>
      </xdr:spPr>
    </xdr:pic>
    <xdr:clientData/>
  </xdr:twoCellAnchor>
  <xdr:twoCellAnchor editAs="oneCell">
    <xdr:from>
      <xdr:col>1</xdr:col>
      <xdr:colOff>1257300</xdr:colOff>
      <xdr:row>0</xdr:row>
      <xdr:rowOff>71990</xdr:rowOff>
    </xdr:from>
    <xdr:to>
      <xdr:col>1</xdr:col>
      <xdr:colOff>2082800</xdr:colOff>
      <xdr:row>0</xdr:row>
      <xdr:rowOff>660400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C7EC1FD-3031-4767-B701-539450928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0300" y="71990"/>
          <a:ext cx="825500" cy="588410"/>
        </a:xfrm>
        <a:prstGeom prst="rect">
          <a:avLst/>
        </a:prstGeom>
      </xdr:spPr>
    </xdr:pic>
    <xdr:clientData/>
  </xdr:twoCellAnchor>
  <xdr:twoCellAnchor editAs="oneCell">
    <xdr:from>
      <xdr:col>3</xdr:col>
      <xdr:colOff>1156358</xdr:colOff>
      <xdr:row>0</xdr:row>
      <xdr:rowOff>70721</xdr:rowOff>
    </xdr:from>
    <xdr:to>
      <xdr:col>3</xdr:col>
      <xdr:colOff>2027464</xdr:colOff>
      <xdr:row>0</xdr:row>
      <xdr:rowOff>619579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8B2B613-84D7-4BB7-82F6-363BAA218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9322" y="70721"/>
          <a:ext cx="871106" cy="5488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1809750</xdr:colOff>
      <xdr:row>1</xdr:row>
      <xdr:rowOff>13606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6596B44-89C5-45EB-81BD-DCB99AFE4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993320"/>
        </a:xfrm>
        <a:prstGeom prst="rect">
          <a:avLst/>
        </a:prstGeom>
      </xdr:spPr>
    </xdr:pic>
    <xdr:clientData/>
  </xdr:twoCellAnchor>
  <xdr:twoCellAnchor editAs="oneCell">
    <xdr:from>
      <xdr:col>0</xdr:col>
      <xdr:colOff>1872344</xdr:colOff>
      <xdr:row>0</xdr:row>
      <xdr:rowOff>68036</xdr:rowOff>
    </xdr:from>
    <xdr:to>
      <xdr:col>0</xdr:col>
      <xdr:colOff>3119586</xdr:colOff>
      <xdr:row>0</xdr:row>
      <xdr:rowOff>870857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E6B44BE-2ACC-4E43-B39C-C307B630A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4" y="68036"/>
          <a:ext cx="1247242" cy="802821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3143250</xdr:colOff>
      <xdr:row>0</xdr:row>
      <xdr:rowOff>190501</xdr:rowOff>
    </xdr:from>
    <xdr:to>
      <xdr:col>0</xdr:col>
      <xdr:colOff>4163787</xdr:colOff>
      <xdr:row>0</xdr:row>
      <xdr:rowOff>884465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0B41FE6-E5CF-4A32-9E88-E7820B9D9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90501"/>
          <a:ext cx="1020537" cy="693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1320800</xdr:colOff>
      <xdr:row>0</xdr:row>
      <xdr:rowOff>92530</xdr:rowOff>
    </xdr:from>
    <xdr:to>
      <xdr:col>2</xdr:col>
      <xdr:colOff>1992812</xdr:colOff>
      <xdr:row>0</xdr:row>
      <xdr:rowOff>736600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C747D1-4EED-43E3-A1D2-09D180DFF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8740" y="92530"/>
          <a:ext cx="672012" cy="64407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1270000</xdr:colOff>
      <xdr:row>0</xdr:row>
      <xdr:rowOff>76199</xdr:rowOff>
    </xdr:from>
    <xdr:to>
      <xdr:col>4</xdr:col>
      <xdr:colOff>1973580</xdr:colOff>
      <xdr:row>0</xdr:row>
      <xdr:rowOff>694716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469B19-66EC-48FB-BAE1-429EEFC4D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1800" y="76199"/>
          <a:ext cx="703580" cy="618517"/>
        </a:xfrm>
        <a:prstGeom prst="rect">
          <a:avLst/>
        </a:prstGeom>
      </xdr:spPr>
    </xdr:pic>
    <xdr:clientData/>
  </xdr:twoCellAnchor>
  <xdr:twoCellAnchor editAs="oneCell">
    <xdr:from>
      <xdr:col>1</xdr:col>
      <xdr:colOff>1231900</xdr:colOff>
      <xdr:row>0</xdr:row>
      <xdr:rowOff>110090</xdr:rowOff>
    </xdr:from>
    <xdr:to>
      <xdr:col>1</xdr:col>
      <xdr:colOff>2057400</xdr:colOff>
      <xdr:row>0</xdr:row>
      <xdr:rowOff>698500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792047-79DB-4179-AE31-C7B32D5E2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6720" y="110090"/>
          <a:ext cx="825500" cy="588410"/>
        </a:xfrm>
        <a:prstGeom prst="rect">
          <a:avLst/>
        </a:prstGeom>
      </xdr:spPr>
    </xdr:pic>
    <xdr:clientData/>
  </xdr:twoCellAnchor>
  <xdr:twoCellAnchor editAs="oneCell">
    <xdr:from>
      <xdr:col>3</xdr:col>
      <xdr:colOff>1169058</xdr:colOff>
      <xdr:row>0</xdr:row>
      <xdr:rowOff>121521</xdr:rowOff>
    </xdr:from>
    <xdr:to>
      <xdr:col>3</xdr:col>
      <xdr:colOff>2040164</xdr:colOff>
      <xdr:row>0</xdr:row>
      <xdr:rowOff>670379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48910F-7127-459B-B44E-F1C6053FE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8218" y="121521"/>
          <a:ext cx="871106" cy="5488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1809750</xdr:colOff>
      <xdr:row>1</xdr:row>
      <xdr:rowOff>13606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6BFC45A-E612-48CC-A786-375D6E454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996586"/>
        </a:xfrm>
        <a:prstGeom prst="rect">
          <a:avLst/>
        </a:prstGeom>
      </xdr:spPr>
    </xdr:pic>
    <xdr:clientData/>
  </xdr:twoCellAnchor>
  <xdr:twoCellAnchor editAs="oneCell">
    <xdr:from>
      <xdr:col>0</xdr:col>
      <xdr:colOff>2982034</xdr:colOff>
      <xdr:row>0</xdr:row>
      <xdr:rowOff>55880</xdr:rowOff>
    </xdr:from>
    <xdr:to>
      <xdr:col>0</xdr:col>
      <xdr:colOff>4206240</xdr:colOff>
      <xdr:row>0</xdr:row>
      <xdr:rowOff>888339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0247BDC-853C-4470-914C-A54FFDFC8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2034" y="55880"/>
          <a:ext cx="1224206" cy="832459"/>
        </a:xfrm>
        <a:prstGeom prst="rect">
          <a:avLst/>
        </a:prstGeom>
      </xdr:spPr>
    </xdr:pic>
    <xdr:clientData/>
  </xdr:twoCellAnchor>
  <xdr:twoCellAnchor editAs="oneCell">
    <xdr:from>
      <xdr:col>0</xdr:col>
      <xdr:colOff>2103120</xdr:colOff>
      <xdr:row>0</xdr:row>
      <xdr:rowOff>60960</xdr:rowOff>
    </xdr:from>
    <xdr:to>
      <xdr:col>0</xdr:col>
      <xdr:colOff>2926080</xdr:colOff>
      <xdr:row>0</xdr:row>
      <xdr:rowOff>883920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AA77359-F97D-4C4A-A7E8-1B55CEB5A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120" y="60960"/>
          <a:ext cx="822960" cy="8229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1290320</xdr:colOff>
      <xdr:row>0</xdr:row>
      <xdr:rowOff>150950</xdr:rowOff>
    </xdr:from>
    <xdr:to>
      <xdr:col>2</xdr:col>
      <xdr:colOff>1962332</xdr:colOff>
      <xdr:row>0</xdr:row>
      <xdr:rowOff>795020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69035E-DFEF-44C8-8FE6-AECEE63A2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8260" y="150950"/>
          <a:ext cx="672012" cy="644070"/>
        </a:xfrm>
        <a:prstGeom prst="rect">
          <a:avLst/>
        </a:prstGeom>
      </xdr:spPr>
    </xdr:pic>
    <xdr:clientData/>
  </xdr:twoCellAnchor>
  <xdr:twoCellAnchor editAs="oneCell">
    <xdr:from>
      <xdr:col>4</xdr:col>
      <xdr:colOff>1239520</xdr:colOff>
      <xdr:row>0</xdr:row>
      <xdr:rowOff>198119</xdr:rowOff>
    </xdr:from>
    <xdr:to>
      <xdr:col>4</xdr:col>
      <xdr:colOff>1943100</xdr:colOff>
      <xdr:row>0</xdr:row>
      <xdr:rowOff>816636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766A0D-A35F-4ACB-9D17-3101FC742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1320" y="198119"/>
          <a:ext cx="703580" cy="618517"/>
        </a:xfrm>
        <a:prstGeom prst="rect">
          <a:avLst/>
        </a:prstGeom>
      </xdr:spPr>
    </xdr:pic>
    <xdr:clientData/>
  </xdr:twoCellAnchor>
  <xdr:twoCellAnchor editAs="oneCell">
    <xdr:from>
      <xdr:col>1</xdr:col>
      <xdr:colOff>1196340</xdr:colOff>
      <xdr:row>0</xdr:row>
      <xdr:rowOff>209150</xdr:rowOff>
    </xdr:from>
    <xdr:to>
      <xdr:col>1</xdr:col>
      <xdr:colOff>2021840</xdr:colOff>
      <xdr:row>0</xdr:row>
      <xdr:rowOff>797560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028BA2-ECA7-4EC4-BBE1-E5C1EDE35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209150"/>
          <a:ext cx="825500" cy="588410"/>
        </a:xfrm>
        <a:prstGeom prst="rect">
          <a:avLst/>
        </a:prstGeom>
      </xdr:spPr>
    </xdr:pic>
    <xdr:clientData/>
  </xdr:twoCellAnchor>
  <xdr:twoCellAnchor editAs="oneCell">
    <xdr:from>
      <xdr:col>3</xdr:col>
      <xdr:colOff>1141118</xdr:colOff>
      <xdr:row>0</xdr:row>
      <xdr:rowOff>177401</xdr:rowOff>
    </xdr:from>
    <xdr:to>
      <xdr:col>3</xdr:col>
      <xdr:colOff>2012224</xdr:colOff>
      <xdr:row>0</xdr:row>
      <xdr:rowOff>726259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3B1D36-8466-4E51-984F-FEA848134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0278" y="177401"/>
          <a:ext cx="871106" cy="5488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1809750</xdr:colOff>
      <xdr:row>1</xdr:row>
      <xdr:rowOff>13606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F276D0-F636-463D-AE48-9DB33376F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996586"/>
        </a:xfrm>
        <a:prstGeom prst="rect">
          <a:avLst/>
        </a:prstGeom>
      </xdr:spPr>
    </xdr:pic>
    <xdr:clientData/>
  </xdr:twoCellAnchor>
  <xdr:twoCellAnchor editAs="oneCell">
    <xdr:from>
      <xdr:col>0</xdr:col>
      <xdr:colOff>3002280</xdr:colOff>
      <xdr:row>0</xdr:row>
      <xdr:rowOff>94642</xdr:rowOff>
    </xdr:from>
    <xdr:to>
      <xdr:col>0</xdr:col>
      <xdr:colOff>4163787</xdr:colOff>
      <xdr:row>0</xdr:row>
      <xdr:rowOff>884465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A9E3233-3C03-45C1-89FB-AADD3B761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2280" y="94642"/>
          <a:ext cx="1161507" cy="789823"/>
        </a:xfrm>
        <a:prstGeom prst="rect">
          <a:avLst/>
        </a:prstGeom>
      </xdr:spPr>
    </xdr:pic>
    <xdr:clientData/>
  </xdr:twoCellAnchor>
  <xdr:twoCellAnchor editAs="oneCell">
    <xdr:from>
      <xdr:col>0</xdr:col>
      <xdr:colOff>2248008</xdr:colOff>
      <xdr:row>0</xdr:row>
      <xdr:rowOff>60732</xdr:rowOff>
    </xdr:from>
    <xdr:to>
      <xdr:col>0</xdr:col>
      <xdr:colOff>2868321</xdr:colOff>
      <xdr:row>0</xdr:row>
      <xdr:rowOff>896776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99B0B5F-8C82-48BB-8E09-12F36A698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631315" flipH="1" flipV="1">
          <a:off x="2248008" y="60732"/>
          <a:ext cx="620313" cy="8360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1290320</xdr:colOff>
      <xdr:row>0</xdr:row>
      <xdr:rowOff>150950</xdr:rowOff>
    </xdr:from>
    <xdr:to>
      <xdr:col>2</xdr:col>
      <xdr:colOff>1962332</xdr:colOff>
      <xdr:row>0</xdr:row>
      <xdr:rowOff>795020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8F0B80-7DB3-403C-9CA9-E4B68902F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8260" y="150950"/>
          <a:ext cx="672012" cy="644070"/>
        </a:xfrm>
        <a:prstGeom prst="rect">
          <a:avLst/>
        </a:prstGeom>
      </xdr:spPr>
    </xdr:pic>
    <xdr:clientData/>
  </xdr:twoCellAnchor>
  <xdr:twoCellAnchor editAs="oneCell">
    <xdr:from>
      <xdr:col>4</xdr:col>
      <xdr:colOff>1239520</xdr:colOff>
      <xdr:row>0</xdr:row>
      <xdr:rowOff>198119</xdr:rowOff>
    </xdr:from>
    <xdr:to>
      <xdr:col>4</xdr:col>
      <xdr:colOff>1943100</xdr:colOff>
      <xdr:row>0</xdr:row>
      <xdr:rowOff>816636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CBEE69-28EF-401D-B650-4F1937D94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1320" y="198119"/>
          <a:ext cx="703580" cy="618517"/>
        </a:xfrm>
        <a:prstGeom prst="rect">
          <a:avLst/>
        </a:prstGeom>
      </xdr:spPr>
    </xdr:pic>
    <xdr:clientData/>
  </xdr:twoCellAnchor>
  <xdr:twoCellAnchor editAs="oneCell">
    <xdr:from>
      <xdr:col>1</xdr:col>
      <xdr:colOff>1196340</xdr:colOff>
      <xdr:row>0</xdr:row>
      <xdr:rowOff>209150</xdr:rowOff>
    </xdr:from>
    <xdr:to>
      <xdr:col>1</xdr:col>
      <xdr:colOff>2021840</xdr:colOff>
      <xdr:row>0</xdr:row>
      <xdr:rowOff>797560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C6A7E1-2B63-47E8-BD87-14CFF22C8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209150"/>
          <a:ext cx="825500" cy="588410"/>
        </a:xfrm>
        <a:prstGeom prst="rect">
          <a:avLst/>
        </a:prstGeom>
      </xdr:spPr>
    </xdr:pic>
    <xdr:clientData/>
  </xdr:twoCellAnchor>
  <xdr:twoCellAnchor editAs="oneCell">
    <xdr:from>
      <xdr:col>3</xdr:col>
      <xdr:colOff>1156358</xdr:colOff>
      <xdr:row>0</xdr:row>
      <xdr:rowOff>177401</xdr:rowOff>
    </xdr:from>
    <xdr:to>
      <xdr:col>3</xdr:col>
      <xdr:colOff>2027464</xdr:colOff>
      <xdr:row>0</xdr:row>
      <xdr:rowOff>726259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44402B5-ED08-4411-BD96-CDFAECE45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0758" y="177401"/>
          <a:ext cx="871106" cy="5488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1809750</xdr:colOff>
      <xdr:row>1</xdr:row>
      <xdr:rowOff>13606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A6FBEF9-8861-4401-9D9F-A8E052A04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996586"/>
        </a:xfrm>
        <a:prstGeom prst="rect">
          <a:avLst/>
        </a:prstGeom>
      </xdr:spPr>
    </xdr:pic>
    <xdr:clientData/>
  </xdr:twoCellAnchor>
  <xdr:twoCellAnchor editAs="oneCell">
    <xdr:from>
      <xdr:col>0</xdr:col>
      <xdr:colOff>2865120</xdr:colOff>
      <xdr:row>0</xdr:row>
      <xdr:rowOff>30480</xdr:rowOff>
    </xdr:from>
    <xdr:to>
      <xdr:col>0</xdr:col>
      <xdr:colOff>4255454</xdr:colOff>
      <xdr:row>0</xdr:row>
      <xdr:rowOff>960665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CDFE5BE-8231-47CD-9A99-C265749CA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5120" y="30480"/>
          <a:ext cx="1390334" cy="930185"/>
        </a:xfrm>
        <a:prstGeom prst="rect">
          <a:avLst/>
        </a:prstGeom>
      </xdr:spPr>
    </xdr:pic>
    <xdr:clientData/>
  </xdr:twoCellAnchor>
  <xdr:twoCellAnchor editAs="oneCell">
    <xdr:from>
      <xdr:col>0</xdr:col>
      <xdr:colOff>2072640</xdr:colOff>
      <xdr:row>0</xdr:row>
      <xdr:rowOff>45720</xdr:rowOff>
    </xdr:from>
    <xdr:to>
      <xdr:col>0</xdr:col>
      <xdr:colOff>2956560</xdr:colOff>
      <xdr:row>0</xdr:row>
      <xdr:rowOff>929640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808F934-F9FD-47B3-AFDC-5AA02532E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45720"/>
          <a:ext cx="883920" cy="8839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1290320</xdr:colOff>
      <xdr:row>0</xdr:row>
      <xdr:rowOff>150950</xdr:rowOff>
    </xdr:from>
    <xdr:to>
      <xdr:col>2</xdr:col>
      <xdr:colOff>1962332</xdr:colOff>
      <xdr:row>0</xdr:row>
      <xdr:rowOff>795020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241B37-1D3C-492B-8ADA-2DBEBD623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5880" y="150950"/>
          <a:ext cx="672012" cy="644070"/>
        </a:xfrm>
        <a:prstGeom prst="rect">
          <a:avLst/>
        </a:prstGeom>
      </xdr:spPr>
    </xdr:pic>
    <xdr:clientData/>
  </xdr:twoCellAnchor>
  <xdr:twoCellAnchor editAs="oneCell">
    <xdr:from>
      <xdr:col>4</xdr:col>
      <xdr:colOff>1239520</xdr:colOff>
      <xdr:row>0</xdr:row>
      <xdr:rowOff>198119</xdr:rowOff>
    </xdr:from>
    <xdr:to>
      <xdr:col>4</xdr:col>
      <xdr:colOff>1943100</xdr:colOff>
      <xdr:row>0</xdr:row>
      <xdr:rowOff>816636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29FA18-031A-418E-AC73-1F925DC1D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6560" y="198119"/>
          <a:ext cx="703580" cy="618517"/>
        </a:xfrm>
        <a:prstGeom prst="rect">
          <a:avLst/>
        </a:prstGeom>
      </xdr:spPr>
    </xdr:pic>
    <xdr:clientData/>
  </xdr:twoCellAnchor>
  <xdr:twoCellAnchor editAs="oneCell">
    <xdr:from>
      <xdr:col>1</xdr:col>
      <xdr:colOff>1196340</xdr:colOff>
      <xdr:row>0</xdr:row>
      <xdr:rowOff>209150</xdr:rowOff>
    </xdr:from>
    <xdr:to>
      <xdr:col>1</xdr:col>
      <xdr:colOff>2021840</xdr:colOff>
      <xdr:row>0</xdr:row>
      <xdr:rowOff>797560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8FD17-4F2F-4A63-AA50-0E48798D6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780" y="209150"/>
          <a:ext cx="825500" cy="588410"/>
        </a:xfrm>
        <a:prstGeom prst="rect">
          <a:avLst/>
        </a:prstGeom>
      </xdr:spPr>
    </xdr:pic>
    <xdr:clientData/>
  </xdr:twoCellAnchor>
  <xdr:twoCellAnchor editAs="oneCell">
    <xdr:from>
      <xdr:col>3</xdr:col>
      <xdr:colOff>1141118</xdr:colOff>
      <xdr:row>0</xdr:row>
      <xdr:rowOff>177401</xdr:rowOff>
    </xdr:from>
    <xdr:to>
      <xdr:col>3</xdr:col>
      <xdr:colOff>2012224</xdr:colOff>
      <xdr:row>0</xdr:row>
      <xdr:rowOff>726259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B18318-8BAA-4897-8ADF-EFD422871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5518" y="177401"/>
          <a:ext cx="871106" cy="5488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1809750</xdr:colOff>
      <xdr:row>1</xdr:row>
      <xdr:rowOff>13606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96C8D8E-9A72-4DAD-90A4-E5088151C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996586"/>
        </a:xfrm>
        <a:prstGeom prst="rect">
          <a:avLst/>
        </a:prstGeom>
      </xdr:spPr>
    </xdr:pic>
    <xdr:clientData/>
  </xdr:twoCellAnchor>
  <xdr:twoCellAnchor editAs="oneCell">
    <xdr:from>
      <xdr:col>0</xdr:col>
      <xdr:colOff>3002280</xdr:colOff>
      <xdr:row>0</xdr:row>
      <xdr:rowOff>94642</xdr:rowOff>
    </xdr:from>
    <xdr:to>
      <xdr:col>0</xdr:col>
      <xdr:colOff>4163787</xdr:colOff>
      <xdr:row>0</xdr:row>
      <xdr:rowOff>884465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3316936-29DD-4FAE-B14E-714E6C016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2280" y="94642"/>
          <a:ext cx="1161507" cy="789823"/>
        </a:xfrm>
        <a:prstGeom prst="rect">
          <a:avLst/>
        </a:prstGeom>
      </xdr:spPr>
    </xdr:pic>
    <xdr:clientData/>
  </xdr:twoCellAnchor>
  <xdr:twoCellAnchor editAs="oneCell">
    <xdr:from>
      <xdr:col>0</xdr:col>
      <xdr:colOff>2225041</xdr:colOff>
      <xdr:row>0</xdr:row>
      <xdr:rowOff>152400</xdr:rowOff>
    </xdr:from>
    <xdr:to>
      <xdr:col>0</xdr:col>
      <xdr:colOff>2842121</xdr:colOff>
      <xdr:row>0</xdr:row>
      <xdr:rowOff>822960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5FA19C5-55D4-4632-B08D-F77BAB481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041" y="152400"/>
          <a:ext cx="617080" cy="6705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1290320</xdr:colOff>
      <xdr:row>0</xdr:row>
      <xdr:rowOff>150950</xdr:rowOff>
    </xdr:from>
    <xdr:to>
      <xdr:col>2</xdr:col>
      <xdr:colOff>1962332</xdr:colOff>
      <xdr:row>0</xdr:row>
      <xdr:rowOff>795020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7AA890-E275-41AE-90B8-89D890435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8260" y="150950"/>
          <a:ext cx="672012" cy="644070"/>
        </a:xfrm>
        <a:prstGeom prst="rect">
          <a:avLst/>
        </a:prstGeom>
      </xdr:spPr>
    </xdr:pic>
    <xdr:clientData/>
  </xdr:twoCellAnchor>
  <xdr:twoCellAnchor editAs="oneCell">
    <xdr:from>
      <xdr:col>4</xdr:col>
      <xdr:colOff>1239520</xdr:colOff>
      <xdr:row>0</xdr:row>
      <xdr:rowOff>198119</xdr:rowOff>
    </xdr:from>
    <xdr:to>
      <xdr:col>4</xdr:col>
      <xdr:colOff>1943100</xdr:colOff>
      <xdr:row>0</xdr:row>
      <xdr:rowOff>816636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5B695A-1B9E-40BE-BD73-817A14832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1320" y="198119"/>
          <a:ext cx="703580" cy="618517"/>
        </a:xfrm>
        <a:prstGeom prst="rect">
          <a:avLst/>
        </a:prstGeom>
      </xdr:spPr>
    </xdr:pic>
    <xdr:clientData/>
  </xdr:twoCellAnchor>
  <xdr:twoCellAnchor editAs="oneCell">
    <xdr:from>
      <xdr:col>1</xdr:col>
      <xdr:colOff>1196340</xdr:colOff>
      <xdr:row>0</xdr:row>
      <xdr:rowOff>209150</xdr:rowOff>
    </xdr:from>
    <xdr:to>
      <xdr:col>1</xdr:col>
      <xdr:colOff>2021840</xdr:colOff>
      <xdr:row>0</xdr:row>
      <xdr:rowOff>797560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F3BBBC-CDA3-4298-A17E-458A33A90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209150"/>
          <a:ext cx="825500" cy="588410"/>
        </a:xfrm>
        <a:prstGeom prst="rect">
          <a:avLst/>
        </a:prstGeom>
      </xdr:spPr>
    </xdr:pic>
    <xdr:clientData/>
  </xdr:twoCellAnchor>
  <xdr:twoCellAnchor editAs="oneCell">
    <xdr:from>
      <xdr:col>3</xdr:col>
      <xdr:colOff>1156358</xdr:colOff>
      <xdr:row>0</xdr:row>
      <xdr:rowOff>177401</xdr:rowOff>
    </xdr:from>
    <xdr:to>
      <xdr:col>3</xdr:col>
      <xdr:colOff>2027464</xdr:colOff>
      <xdr:row>0</xdr:row>
      <xdr:rowOff>726259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BF12F1-EE7C-4F14-8650-CC3D8B92E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5518" y="177401"/>
          <a:ext cx="871106" cy="5488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1809750</xdr:colOff>
      <xdr:row>1</xdr:row>
      <xdr:rowOff>13606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280285B-EECB-45EF-B82C-E0BDE154C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996586"/>
        </a:xfrm>
        <a:prstGeom prst="rect">
          <a:avLst/>
        </a:prstGeom>
      </xdr:spPr>
    </xdr:pic>
    <xdr:clientData/>
  </xdr:twoCellAnchor>
  <xdr:twoCellAnchor editAs="oneCell">
    <xdr:from>
      <xdr:col>0</xdr:col>
      <xdr:colOff>2865120</xdr:colOff>
      <xdr:row>0</xdr:row>
      <xdr:rowOff>30480</xdr:rowOff>
    </xdr:from>
    <xdr:to>
      <xdr:col>0</xdr:col>
      <xdr:colOff>4255454</xdr:colOff>
      <xdr:row>0</xdr:row>
      <xdr:rowOff>960665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407C5F0-09E8-4EFD-80D1-E0F6B14DC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5120" y="30480"/>
          <a:ext cx="1390334" cy="930185"/>
        </a:xfrm>
        <a:prstGeom prst="rect">
          <a:avLst/>
        </a:prstGeom>
      </xdr:spPr>
    </xdr:pic>
    <xdr:clientData/>
  </xdr:twoCellAnchor>
  <xdr:twoCellAnchor editAs="oneCell">
    <xdr:from>
      <xdr:col>0</xdr:col>
      <xdr:colOff>2087880</xdr:colOff>
      <xdr:row>0</xdr:row>
      <xdr:rowOff>30480</xdr:rowOff>
    </xdr:from>
    <xdr:to>
      <xdr:col>0</xdr:col>
      <xdr:colOff>2971800</xdr:colOff>
      <xdr:row>0</xdr:row>
      <xdr:rowOff>914400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C64099C-6301-4E8F-8D49-E0AABC4C4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7880" y="30480"/>
          <a:ext cx="883920" cy="883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tmex.com/10%25-FEES-discounts-for-next-6-months" TargetMode="External"/><Relationship Id="rId2" Type="http://schemas.openxmlformats.org/officeDocument/2006/relationships/hyperlink" Target="http://www.ministryofmargintrading.com/" TargetMode="External"/><Relationship Id="rId1" Type="http://schemas.openxmlformats.org/officeDocument/2006/relationships/hyperlink" Target="http://www.ministryofmargintrading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tmex.com/10%25-FEES-discounts-for-next-6-months" TargetMode="External"/><Relationship Id="rId2" Type="http://schemas.openxmlformats.org/officeDocument/2006/relationships/hyperlink" Target="http://www.ministryofmargintrading.com/" TargetMode="External"/><Relationship Id="rId1" Type="http://schemas.openxmlformats.org/officeDocument/2006/relationships/hyperlink" Target="http://www.ministryofmargintrading.com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tmex.com/10%25-FEES-discounts-for-next-6-months" TargetMode="External"/><Relationship Id="rId2" Type="http://schemas.openxmlformats.org/officeDocument/2006/relationships/hyperlink" Target="http://www.ministryofmargintrading.com/" TargetMode="External"/><Relationship Id="rId1" Type="http://schemas.openxmlformats.org/officeDocument/2006/relationships/hyperlink" Target="http://www.ministryofmargintrading.com/" TargetMode="External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istryofmargintrading.com/the-best-strategy-margin-trading" TargetMode="External"/><Relationship Id="rId3" Type="http://schemas.openxmlformats.org/officeDocument/2006/relationships/hyperlink" Target="https://www.ministryofmargintrading.com/explained-guides-how-to-tutorials/what-is-bitmex-downtime-and-how-long-does-it-usulally-takes" TargetMode="External"/><Relationship Id="rId7" Type="http://schemas.openxmlformats.org/officeDocument/2006/relationships/hyperlink" Target="https://www.ministryofmargintrading.com/" TargetMode="External"/><Relationship Id="rId2" Type="http://schemas.openxmlformats.org/officeDocument/2006/relationships/hyperlink" Target="https://www.ministryofmargintrading.com/explained-guides-how-to-tutorials/how-to-set-up-correctly-stop-loss-on-bitmex-to-avoid-liquidation" TargetMode="External"/><Relationship Id="rId1" Type="http://schemas.openxmlformats.org/officeDocument/2006/relationships/hyperlink" Target="https://www.ministryofmargintrading.com/explained-guides-how-to-tutorials/all-bitmex-fees-and-commissions-explained" TargetMode="External"/><Relationship Id="rId6" Type="http://schemas.openxmlformats.org/officeDocument/2006/relationships/hyperlink" Target="https://www.ministryofmargintrading.com/free-bitcoin-altcoin-webinars" TargetMode="External"/><Relationship Id="rId5" Type="http://schemas.openxmlformats.org/officeDocument/2006/relationships/hyperlink" Target="https://www.ministryofmargintrading.com/explained-guides-how-to-tutorials/bitmex-leverage-simply-explained-with-examples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ministryofmargintrading.com/explained-guides-how-to-tutorials/has-bitmex-negative-balance-protection-nbp-can-i-lose-more-than-i-credited-into-my-account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tmex.com/10%25-FEES-discounts-for-next-6-months" TargetMode="External"/><Relationship Id="rId2" Type="http://schemas.openxmlformats.org/officeDocument/2006/relationships/hyperlink" Target="http://www.ministryofmargintrading.com/" TargetMode="External"/><Relationship Id="rId1" Type="http://schemas.openxmlformats.org/officeDocument/2006/relationships/hyperlink" Target="http://www.ministryofmargintrading.com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tmex.com/10%25-FEES-discounts-for-next-6-months" TargetMode="External"/><Relationship Id="rId2" Type="http://schemas.openxmlformats.org/officeDocument/2006/relationships/hyperlink" Target="http://www.ministryofmargintrading.com/" TargetMode="External"/><Relationship Id="rId1" Type="http://schemas.openxmlformats.org/officeDocument/2006/relationships/hyperlink" Target="http://www.ministryofmargintrading.com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tmex.com/10%25-FEES-discounts-for-next-6-months" TargetMode="External"/><Relationship Id="rId2" Type="http://schemas.openxmlformats.org/officeDocument/2006/relationships/hyperlink" Target="http://www.ministryofmargintrading.com/" TargetMode="External"/><Relationship Id="rId1" Type="http://schemas.openxmlformats.org/officeDocument/2006/relationships/hyperlink" Target="http://www.ministryofmargintrading.com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tmex.com/10%25-FEES-discounts-for-next-6-months" TargetMode="External"/><Relationship Id="rId2" Type="http://schemas.openxmlformats.org/officeDocument/2006/relationships/hyperlink" Target="http://www.ministryofmargintrading.com/" TargetMode="External"/><Relationship Id="rId1" Type="http://schemas.openxmlformats.org/officeDocument/2006/relationships/hyperlink" Target="http://www.ministryofmargintrading.com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tmex.com/10%25-FEES-discounts-for-next-6-months" TargetMode="External"/><Relationship Id="rId2" Type="http://schemas.openxmlformats.org/officeDocument/2006/relationships/hyperlink" Target="http://www.ministryofmargintrading.com/" TargetMode="External"/><Relationship Id="rId1" Type="http://schemas.openxmlformats.org/officeDocument/2006/relationships/hyperlink" Target="http://www.ministryofmargintrading.com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tmex.com/10%25-FEES-discounts-for-next-6-months" TargetMode="External"/><Relationship Id="rId2" Type="http://schemas.openxmlformats.org/officeDocument/2006/relationships/hyperlink" Target="http://www.ministryofmargintrading.com/" TargetMode="External"/><Relationship Id="rId1" Type="http://schemas.openxmlformats.org/officeDocument/2006/relationships/hyperlink" Target="http://www.ministryofmargintrading.com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tmex.com/10%25-FEES-discounts-for-next-6-months" TargetMode="External"/><Relationship Id="rId2" Type="http://schemas.openxmlformats.org/officeDocument/2006/relationships/hyperlink" Target="http://www.ministryofmargintrading.com/" TargetMode="External"/><Relationship Id="rId1" Type="http://schemas.openxmlformats.org/officeDocument/2006/relationships/hyperlink" Target="http://www.ministryofmargintrading.com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16F15-EC20-4035-851E-9B39C35F98A7}">
  <dimension ref="A1:G37"/>
  <sheetViews>
    <sheetView zoomScale="63" zoomScaleNormal="63" workbookViewId="0">
      <selection activeCell="C12" sqref="C12"/>
    </sheetView>
  </sheetViews>
  <sheetFormatPr defaultRowHeight="14.4" x14ac:dyDescent="0.3"/>
  <cols>
    <col min="1" max="1" width="62.109375" style="70" customWidth="1"/>
    <col min="2" max="2" width="28.6640625" style="70" customWidth="1"/>
    <col min="3" max="3" width="30.21875" style="70" customWidth="1"/>
    <col min="4" max="4" width="28.5546875" style="70" customWidth="1"/>
    <col min="5" max="5" width="28.77734375" style="70" customWidth="1"/>
    <col min="6" max="6" width="125.109375" style="70" customWidth="1"/>
    <col min="7" max="16384" width="8.88671875" style="70"/>
  </cols>
  <sheetData>
    <row r="1" spans="1:6" ht="63.6" customHeight="1" thickTop="1" thickBot="1" x14ac:dyDescent="0.35">
      <c r="A1" s="65"/>
      <c r="B1" s="66" t="s">
        <v>23</v>
      </c>
      <c r="C1" s="66" t="s">
        <v>24</v>
      </c>
      <c r="D1" s="67" t="s">
        <v>25</v>
      </c>
      <c r="E1" s="68" t="s">
        <v>26</v>
      </c>
      <c r="F1" s="69" t="s">
        <v>150</v>
      </c>
    </row>
    <row r="2" spans="1:6" ht="24.6" thickTop="1" thickBot="1" x14ac:dyDescent="0.45">
      <c r="A2" s="71" t="s">
        <v>121</v>
      </c>
      <c r="B2" s="72" t="s">
        <v>0</v>
      </c>
      <c r="C2" s="73" t="s">
        <v>1</v>
      </c>
      <c r="D2" s="74" t="s">
        <v>2</v>
      </c>
      <c r="E2" s="75" t="s">
        <v>3</v>
      </c>
      <c r="F2" s="76" t="s">
        <v>61</v>
      </c>
    </row>
    <row r="3" spans="1:6" ht="24.6" thickTop="1" thickBot="1" x14ac:dyDescent="0.5">
      <c r="A3" s="188" t="s">
        <v>107</v>
      </c>
      <c r="B3" s="1">
        <v>6666</v>
      </c>
      <c r="C3" s="2">
        <v>6666</v>
      </c>
      <c r="D3" s="1">
        <v>6666</v>
      </c>
      <c r="E3" s="12">
        <v>6666</v>
      </c>
      <c r="F3" s="78" t="s">
        <v>148</v>
      </c>
    </row>
    <row r="4" spans="1:6" ht="24.6" thickTop="1" thickBot="1" x14ac:dyDescent="0.35">
      <c r="A4" s="189" t="s">
        <v>106</v>
      </c>
      <c r="B4" s="23">
        <v>10</v>
      </c>
      <c r="C4" s="23">
        <v>10</v>
      </c>
      <c r="D4" s="23">
        <v>50</v>
      </c>
      <c r="E4" s="24">
        <v>50</v>
      </c>
      <c r="F4" s="80" t="s">
        <v>47</v>
      </c>
    </row>
    <row r="5" spans="1:6" ht="24" thickTop="1" x14ac:dyDescent="0.3">
      <c r="A5" s="81" t="s">
        <v>105</v>
      </c>
      <c r="B5" s="3">
        <f>B6/B4</f>
        <v>0.1</v>
      </c>
      <c r="C5" s="3">
        <f>C6/C4</f>
        <v>0.1</v>
      </c>
      <c r="D5" s="3">
        <f t="shared" ref="D5:E5" si="0">D6/D4</f>
        <v>0.02</v>
      </c>
      <c r="E5" s="13">
        <f t="shared" si="0"/>
        <v>0.02</v>
      </c>
      <c r="F5" s="80" t="s">
        <v>104</v>
      </c>
    </row>
    <row r="6" spans="1:6" ht="23.4" x14ac:dyDescent="0.3">
      <c r="A6" s="82" t="s">
        <v>4</v>
      </c>
      <c r="B6" s="4">
        <f>B3/B8</f>
        <v>1</v>
      </c>
      <c r="C6" s="4">
        <f>C3/C8</f>
        <v>1</v>
      </c>
      <c r="D6" s="4">
        <f t="shared" ref="D6:E6" si="1">D3/D8</f>
        <v>1</v>
      </c>
      <c r="E6" s="14">
        <f t="shared" si="1"/>
        <v>1</v>
      </c>
      <c r="F6" s="80"/>
    </row>
    <row r="7" spans="1:6" ht="24" thickBot="1" x14ac:dyDescent="0.35">
      <c r="A7" s="83" t="s">
        <v>108</v>
      </c>
      <c r="B7" s="5">
        <f>B5*B8</f>
        <v>666.6</v>
      </c>
      <c r="C7" s="5">
        <f>C5*C8</f>
        <v>666.6</v>
      </c>
      <c r="D7" s="5">
        <f t="shared" ref="D7:E7" si="2">D5*D8</f>
        <v>133.32</v>
      </c>
      <c r="E7" s="15">
        <f t="shared" si="2"/>
        <v>133.32</v>
      </c>
      <c r="F7" s="80" t="s">
        <v>44</v>
      </c>
    </row>
    <row r="8" spans="1:6" ht="24.6" thickTop="1" thickBot="1" x14ac:dyDescent="0.35">
      <c r="A8" s="84" t="s">
        <v>109</v>
      </c>
      <c r="B8" s="2">
        <v>6666</v>
      </c>
      <c r="C8" s="2">
        <v>6666</v>
      </c>
      <c r="D8" s="2">
        <v>6666</v>
      </c>
      <c r="E8" s="16">
        <v>6666</v>
      </c>
      <c r="F8" s="80" t="s">
        <v>46</v>
      </c>
    </row>
    <row r="9" spans="1:6" ht="24.6" thickTop="1" thickBot="1" x14ac:dyDescent="0.35">
      <c r="A9" s="85" t="s">
        <v>102</v>
      </c>
      <c r="B9" s="6">
        <v>7777</v>
      </c>
      <c r="C9" s="6">
        <v>6555</v>
      </c>
      <c r="D9" s="6">
        <v>5555</v>
      </c>
      <c r="E9" s="17">
        <v>6750</v>
      </c>
      <c r="F9" s="80" t="s">
        <v>50</v>
      </c>
    </row>
    <row r="10" spans="1:6" ht="24" thickTop="1" x14ac:dyDescent="0.3">
      <c r="A10" s="86" t="s">
        <v>138</v>
      </c>
      <c r="B10" s="7">
        <f>(B9-B8)/B8</f>
        <v>0.16666666666666666</v>
      </c>
      <c r="C10" s="7">
        <f t="shared" ref="C10:E10" si="3">(C9-C8)/C8</f>
        <v>-1.6651665166516651E-2</v>
      </c>
      <c r="D10" s="7">
        <f t="shared" si="3"/>
        <v>-0.16666666666666666</v>
      </c>
      <c r="E10" s="18">
        <f t="shared" si="3"/>
        <v>1.2601260126012601E-2</v>
      </c>
      <c r="F10" s="80" t="s">
        <v>51</v>
      </c>
    </row>
    <row r="11" spans="1:6" ht="23.4" x14ac:dyDescent="0.3">
      <c r="A11" s="82" t="s">
        <v>99</v>
      </c>
      <c r="B11" s="4">
        <f>B3*((1/B8)-(1/B9))</f>
        <v>0.14285714285714296</v>
      </c>
      <c r="C11" s="4">
        <f>C3*((1/C8)-(1/C9))</f>
        <v>-1.6933638443935899E-2</v>
      </c>
      <c r="D11" s="4">
        <f>D3*((1/D9)-(1/D8))</f>
        <v>0.19999999999999987</v>
      </c>
      <c r="E11" s="14">
        <f>E3*((1/E9)-(1/E8))</f>
        <v>-1.2444444444444536E-2</v>
      </c>
      <c r="F11" s="80" t="s">
        <v>52</v>
      </c>
    </row>
    <row r="12" spans="1:6" ht="23.4" x14ac:dyDescent="0.3">
      <c r="A12" s="87" t="s">
        <v>103</v>
      </c>
      <c r="B12" s="8">
        <f>B11*B9</f>
        <v>1111.0000000000009</v>
      </c>
      <c r="C12" s="8">
        <f>C11*C8</f>
        <v>-112.87963386727671</v>
      </c>
      <c r="D12" s="8">
        <f>D11*D9</f>
        <v>1110.9999999999993</v>
      </c>
      <c r="E12" s="19">
        <f t="shared" ref="E12" si="4">E11*E8</f>
        <v>-82.954666666667279</v>
      </c>
      <c r="F12" s="80" t="s">
        <v>53</v>
      </c>
    </row>
    <row r="13" spans="1:6" ht="23.4" x14ac:dyDescent="0.3">
      <c r="A13" s="87" t="s">
        <v>101</v>
      </c>
      <c r="B13" s="8">
        <f>((B5)*(B9-B8))</f>
        <v>111.10000000000001</v>
      </c>
      <c r="C13" s="8">
        <f>(C5+C11)*(C9-C8)</f>
        <v>-9.2203661327231146</v>
      </c>
      <c r="D13" s="8">
        <f>D5*(D9-D8)</f>
        <v>-22.22</v>
      </c>
      <c r="E13" s="19">
        <f t="shared" ref="E13" si="5">(E5+E11)*(E9-E8)</f>
        <v>0.63466666666665905</v>
      </c>
      <c r="F13" s="80" t="s">
        <v>42</v>
      </c>
    </row>
    <row r="14" spans="1:6" ht="25.8" x14ac:dyDescent="0.3">
      <c r="A14" s="88" t="s">
        <v>30</v>
      </c>
      <c r="B14" s="11">
        <f>B13+B12</f>
        <v>1222.1000000000008</v>
      </c>
      <c r="C14" s="11">
        <f>C13+C12</f>
        <v>-122.09999999999982</v>
      </c>
      <c r="D14" s="11">
        <f t="shared" ref="D14:E14" si="6">D13+D12</f>
        <v>1088.7799999999993</v>
      </c>
      <c r="E14" s="20">
        <f t="shared" si="6"/>
        <v>-82.320000000000618</v>
      </c>
      <c r="F14" s="80"/>
    </row>
    <row r="15" spans="1:6" ht="23.4" x14ac:dyDescent="0.45">
      <c r="A15" s="89" t="s">
        <v>11</v>
      </c>
      <c r="B15" s="9">
        <f>(B16-B7)/B7</f>
        <v>1.8333333333333346</v>
      </c>
      <c r="C15" s="9">
        <f>(C16-C7)/C7</f>
        <v>-0.18316831683168286</v>
      </c>
      <c r="D15" s="9">
        <f t="shared" ref="D15:E15" si="7">(D16-D7)/D7</f>
        <v>8.1666666666666625</v>
      </c>
      <c r="E15" s="21">
        <f t="shared" si="7"/>
        <v>-0.61746174617462213</v>
      </c>
      <c r="F15" s="90" t="s">
        <v>127</v>
      </c>
    </row>
    <row r="16" spans="1:6" ht="21" x14ac:dyDescent="0.3">
      <c r="A16" s="91" t="s">
        <v>13</v>
      </c>
      <c r="B16" s="8">
        <f>B14+B7</f>
        <v>1888.7000000000007</v>
      </c>
      <c r="C16" s="8">
        <f>C14+C7</f>
        <v>544.50000000000023</v>
      </c>
      <c r="D16" s="8">
        <f t="shared" ref="D16:E16" si="8">D14+D7</f>
        <v>1222.0999999999992</v>
      </c>
      <c r="E16" s="19">
        <f t="shared" si="8"/>
        <v>50.999999999999375</v>
      </c>
      <c r="F16" s="80" t="s">
        <v>45</v>
      </c>
    </row>
    <row r="17" spans="1:6" ht="21" x14ac:dyDescent="0.3">
      <c r="A17" s="91" t="s">
        <v>14</v>
      </c>
      <c r="B17" s="4">
        <f>B5+B11</f>
        <v>0.24285714285714297</v>
      </c>
      <c r="C17" s="4">
        <f>C5+C11</f>
        <v>8.3066361556064103E-2</v>
      </c>
      <c r="D17" s="4">
        <f t="shared" ref="D17:E17" si="9">D5+D11</f>
        <v>0.21999999999999986</v>
      </c>
      <c r="E17" s="14">
        <f t="shared" si="9"/>
        <v>7.5555555555554647E-3</v>
      </c>
      <c r="F17" s="80" t="s">
        <v>43</v>
      </c>
    </row>
    <row r="18" spans="1:6" ht="25.2" customHeight="1" thickBot="1" x14ac:dyDescent="0.35">
      <c r="A18" s="92" t="s">
        <v>12</v>
      </c>
      <c r="B18" s="10">
        <f>(B8-(B8/(B4+1)))+(B8-(B8/(B4+1)))*0.005</f>
        <v>6090.3</v>
      </c>
      <c r="C18" s="10">
        <f>(C8-(C8/(C4+1)))+(C8-(C8/(C4+1)))*0.005</f>
        <v>6090.3</v>
      </c>
      <c r="D18" s="10">
        <f>(D8+(D8/(D4-1)))-(D8+(D8/(D4-1)))*0.005</f>
        <v>6768.0306122448983</v>
      </c>
      <c r="E18" s="22">
        <f>(E8+(E8/(E4-1)))-(E8+(E8/(E4-1)))*0.005</f>
        <v>6768.0306122448983</v>
      </c>
      <c r="F18" s="93" t="s">
        <v>41</v>
      </c>
    </row>
    <row r="19" spans="1:6" s="98" customFormat="1" ht="25.8" customHeight="1" x14ac:dyDescent="0.3">
      <c r="A19" s="94" t="s">
        <v>22</v>
      </c>
      <c r="B19" s="95">
        <f>B8*B6*0.00025+B9*B6*0.00025</f>
        <v>3.6107500000000003</v>
      </c>
      <c r="C19" s="95">
        <f t="shared" ref="C19:E19" si="10">C8*C6*0.00025+C9*C6*0.00025</f>
        <v>3.30525</v>
      </c>
      <c r="D19" s="95">
        <f t="shared" si="10"/>
        <v>3.05525</v>
      </c>
      <c r="E19" s="96">
        <f t="shared" si="10"/>
        <v>3.3540000000000001</v>
      </c>
      <c r="F19" s="97" t="s">
        <v>84</v>
      </c>
    </row>
    <row r="20" spans="1:6" s="98" customFormat="1" ht="24.6" customHeight="1" x14ac:dyDescent="0.3">
      <c r="A20" s="99" t="s">
        <v>27</v>
      </c>
      <c r="B20" s="100">
        <f>B8*B6*0.00025+B9*B6*0.00075*(-1)</f>
        <v>-4.1662499999999998</v>
      </c>
      <c r="C20" s="100">
        <f t="shared" ref="C20:E20" si="11">C8*C6*0.00025+C9*C6*0.00075*(-1)</f>
        <v>-3.2497499999999997</v>
      </c>
      <c r="D20" s="100">
        <f t="shared" si="11"/>
        <v>-2.4997499999999997</v>
      </c>
      <c r="E20" s="101">
        <f t="shared" si="11"/>
        <v>-3.3959999999999999</v>
      </c>
      <c r="F20" s="97" t="s">
        <v>38</v>
      </c>
    </row>
    <row r="21" spans="1:6" s="98" customFormat="1" ht="21.6" customHeight="1" x14ac:dyDescent="0.3">
      <c r="A21" s="99" t="s">
        <v>32</v>
      </c>
      <c r="B21" s="100">
        <f>B8*B6*0.00025+B9*B6*0.000675*(-1)</f>
        <v>-3.5829750000000002</v>
      </c>
      <c r="C21" s="100">
        <f>C8*C6*0.00025+C9*C6*0.000675*(-1)</f>
        <v>-2.7581249999999997</v>
      </c>
      <c r="D21" s="100">
        <f>D8*D6*0.00025+D9*D6*0.000675*(-1)</f>
        <v>-2.0831249999999999</v>
      </c>
      <c r="E21" s="101">
        <f>E8*E6*0.00025+E9*E6*0.000675*(-1)</f>
        <v>-2.8897500000000003</v>
      </c>
      <c r="F21" s="97" t="s">
        <v>39</v>
      </c>
    </row>
    <row r="22" spans="1:6" s="98" customFormat="1" ht="21" customHeight="1" x14ac:dyDescent="0.3">
      <c r="A22" s="99" t="s">
        <v>28</v>
      </c>
      <c r="B22" s="100">
        <f>B8*B6*0.00075*(-1)+B9*B6*0.00025</f>
        <v>-3.05525</v>
      </c>
      <c r="C22" s="100">
        <f>C8*C6*0.00075*(-1)+C9*C6*0.00025</f>
        <v>-3.3607500000000003</v>
      </c>
      <c r="D22" s="100">
        <f>D8*D6*0.00075*(-1)+D9*D6*0.00025</f>
        <v>-3.6107500000000003</v>
      </c>
      <c r="E22" s="101">
        <f>E8*E6*0.00075*(-1)+E9*E6*0.00025</f>
        <v>-3.3120000000000003</v>
      </c>
      <c r="F22" s="102"/>
    </row>
    <row r="23" spans="1:6" s="98" customFormat="1" ht="21" customHeight="1" x14ac:dyDescent="0.3">
      <c r="A23" s="99" t="s">
        <v>33</v>
      </c>
      <c r="B23" s="100">
        <f>B8*B6*0.000675*(-1)+B9*B6*0.00025</f>
        <v>-2.5552999999999999</v>
      </c>
      <c r="C23" s="100">
        <f>C8*C6*0.000675*(-1)+C9*C6*0.00025</f>
        <v>-2.8608000000000002</v>
      </c>
      <c r="D23" s="100">
        <f>D8*D6*0.000675*(-1)+D9*D6*0.00025</f>
        <v>-3.1108000000000002</v>
      </c>
      <c r="E23" s="101">
        <f>E8*E6*0.000675*(-1)+E9*E6*0.00025</f>
        <v>-2.8120500000000002</v>
      </c>
      <c r="F23" s="102" t="s">
        <v>54</v>
      </c>
    </row>
    <row r="24" spans="1:6" s="98" customFormat="1" ht="22.2" customHeight="1" x14ac:dyDescent="0.3">
      <c r="A24" s="99" t="s">
        <v>29</v>
      </c>
      <c r="B24" s="100">
        <f>B8*B6*0.00075*(-1)+B9*B6*0.00075*(-1)</f>
        <v>-10.83225</v>
      </c>
      <c r="C24" s="100">
        <f>C8*C6*0.00075*(-1)+C9*C6*0.00075*(-1)</f>
        <v>-9.9157499999999992</v>
      </c>
      <c r="D24" s="100">
        <f>D8*D6*0.00075*(-1)+D9*D6*0.00075*(-1)</f>
        <v>-9.1657499999999992</v>
      </c>
      <c r="E24" s="101">
        <f>E8*E6*0.00075*(-1)+E9*E6*0.00075*(-1)</f>
        <v>-10.062000000000001</v>
      </c>
      <c r="F24" s="103"/>
    </row>
    <row r="25" spans="1:6" s="98" customFormat="1" ht="21" customHeight="1" x14ac:dyDescent="0.3">
      <c r="A25" s="99" t="s">
        <v>34</v>
      </c>
      <c r="B25" s="100">
        <f>B8*B6*0.000675*(-1)+B9*B6*0.000675*(-1)</f>
        <v>-9.7490249999999996</v>
      </c>
      <c r="C25" s="100">
        <f>C8*C6*0.000675*(-1)+C9*C6*0.000675*(-1)</f>
        <v>-8.924175</v>
      </c>
      <c r="D25" s="100">
        <f>D8*D6*0.000675*(-1)+D9*D6*0.000675*(-1)</f>
        <v>-8.249175000000001</v>
      </c>
      <c r="E25" s="101">
        <f>E8*E6*0.000675*(-1)+E9*E6*0.000675*(-1)</f>
        <v>-9.0558000000000014</v>
      </c>
      <c r="F25" s="103"/>
    </row>
    <row r="26" spans="1:6" s="98" customFormat="1" ht="0.6" hidden="1" customHeight="1" x14ac:dyDescent="0.3">
      <c r="A26" s="104"/>
      <c r="B26" s="105"/>
      <c r="C26" s="105"/>
      <c r="D26" s="105"/>
      <c r="E26" s="106"/>
      <c r="F26" s="103"/>
    </row>
    <row r="27" spans="1:6" s="98" customFormat="1" ht="25.8" hidden="1" customHeight="1" x14ac:dyDescent="0.3">
      <c r="A27" s="104"/>
      <c r="B27" s="105"/>
      <c r="C27" s="105"/>
      <c r="D27" s="105"/>
      <c r="E27" s="106"/>
      <c r="F27" s="103"/>
    </row>
    <row r="28" spans="1:6" ht="22.2" hidden="1" customHeight="1" x14ac:dyDescent="0.4">
      <c r="A28" s="107"/>
      <c r="B28" s="108"/>
      <c r="C28" s="108"/>
      <c r="D28" s="108"/>
      <c r="E28" s="109"/>
      <c r="F28" s="110"/>
    </row>
    <row r="29" spans="1:6" ht="21" hidden="1" x14ac:dyDescent="0.4">
      <c r="A29" s="111"/>
      <c r="B29" s="108"/>
      <c r="C29" s="108"/>
      <c r="D29" s="108"/>
      <c r="E29" s="109"/>
      <c r="F29" s="110"/>
    </row>
    <row r="30" spans="1:6" ht="21" hidden="1" x14ac:dyDescent="0.4">
      <c r="A30" s="107"/>
      <c r="B30" s="108"/>
      <c r="C30" s="108"/>
      <c r="D30" s="108"/>
      <c r="E30" s="109"/>
      <c r="F30" s="110"/>
    </row>
    <row r="31" spans="1:6" ht="21.6" customHeight="1" x14ac:dyDescent="0.3">
      <c r="A31" s="112" t="s">
        <v>31</v>
      </c>
      <c r="B31" s="37">
        <f>B14+B19</f>
        <v>1225.7107500000009</v>
      </c>
      <c r="C31" s="37">
        <f t="shared" ref="C31:E31" si="12">C14+C19</f>
        <v>-118.79474999999982</v>
      </c>
      <c r="D31" s="37">
        <f t="shared" si="12"/>
        <v>1091.8352499999992</v>
      </c>
      <c r="E31" s="36">
        <f t="shared" si="12"/>
        <v>-78.966000000000619</v>
      </c>
      <c r="F31" s="113"/>
    </row>
    <row r="32" spans="1:6" ht="23.4" customHeight="1" x14ac:dyDescent="0.3">
      <c r="A32" s="112" t="s">
        <v>35</v>
      </c>
      <c r="B32" s="114">
        <f>B14+B21</f>
        <v>1218.5170250000008</v>
      </c>
      <c r="C32" s="114">
        <f t="shared" ref="C32:E32" si="13">C14+C21</f>
        <v>-124.85812499999983</v>
      </c>
      <c r="D32" s="114">
        <f t="shared" si="13"/>
        <v>1086.6968749999992</v>
      </c>
      <c r="E32" s="115">
        <f t="shared" si="13"/>
        <v>-85.209750000000625</v>
      </c>
      <c r="F32" s="113"/>
    </row>
    <row r="33" spans="1:7" ht="22.8" customHeight="1" x14ac:dyDescent="0.3">
      <c r="A33" s="112" t="s">
        <v>36</v>
      </c>
      <c r="B33" s="114">
        <f>B14+B23</f>
        <v>1219.5447000000008</v>
      </c>
      <c r="C33" s="114">
        <f t="shared" ref="C33:E33" si="14">C14+C23</f>
        <v>-124.96079999999982</v>
      </c>
      <c r="D33" s="114">
        <f t="shared" si="14"/>
        <v>1085.6691999999994</v>
      </c>
      <c r="E33" s="115">
        <f t="shared" si="14"/>
        <v>-85.132050000000618</v>
      </c>
      <c r="F33" s="116" t="s">
        <v>15</v>
      </c>
    </row>
    <row r="34" spans="1:7" ht="21.6" customHeight="1" thickBot="1" x14ac:dyDescent="0.35">
      <c r="A34" s="117" t="s">
        <v>37</v>
      </c>
      <c r="B34" s="118">
        <f>B14+B25</f>
        <v>1212.3509750000007</v>
      </c>
      <c r="C34" s="118">
        <f t="shared" ref="C34:E34" si="15">C14+C25</f>
        <v>-131.02417499999981</v>
      </c>
      <c r="D34" s="118">
        <f t="shared" si="15"/>
        <v>1080.5308249999994</v>
      </c>
      <c r="E34" s="119">
        <f t="shared" si="15"/>
        <v>-91.375800000000623</v>
      </c>
      <c r="F34" s="120" t="s">
        <v>49</v>
      </c>
    </row>
    <row r="35" spans="1:7" ht="27" thickTop="1" thickBot="1" x14ac:dyDescent="0.55000000000000004">
      <c r="A35" s="121" t="s">
        <v>16</v>
      </c>
      <c r="B35" s="122" t="s">
        <v>17</v>
      </c>
      <c r="C35" s="121" t="s">
        <v>18</v>
      </c>
      <c r="D35" s="123" t="s">
        <v>19</v>
      </c>
      <c r="E35" s="124"/>
      <c r="F35" s="125" t="s">
        <v>168</v>
      </c>
      <c r="G35" s="125"/>
    </row>
    <row r="36" spans="1:7" ht="30" thickTop="1" thickBot="1" x14ac:dyDescent="0.55000000000000004">
      <c r="A36" s="126" t="s">
        <v>20</v>
      </c>
      <c r="B36" s="127" t="s">
        <v>125</v>
      </c>
      <c r="C36" s="128"/>
      <c r="D36" s="128"/>
      <c r="E36" s="129"/>
      <c r="F36" s="130" t="s">
        <v>87</v>
      </c>
      <c r="G36" s="130"/>
    </row>
    <row r="37" spans="1:7" ht="15" thickTop="1" x14ac:dyDescent="0.3"/>
  </sheetData>
  <sheetProtection algorithmName="SHA-512" hashValue="cHm1pISI4LjTkrYpQAx6L29WcEgAMMirAVOIM3Xkbeyj0TUJybkDXjfog6j3CNqAO8wFWVnl+vGI9lsMShfhmA==" saltValue="XG1OTjcOqYw/5LxNds0PXw==" spinCount="100000" sheet="1" objects="1" scenarios="1"/>
  <hyperlinks>
    <hyperlink ref="D35:E35" r:id="rId1" display="Created by MinistryOfMarginTrading" xr:uid="{7A451473-7CC2-490A-ABD4-A871EDEB5E78}"/>
    <hyperlink ref="D35" r:id="rId2" xr:uid="{B5866E12-A77F-4029-8C05-1EABB953F9D9}"/>
    <hyperlink ref="F36" r:id="rId3" xr:uid="{2CE71474-0D1B-449F-9358-61383420F7DE}"/>
  </hyperlinks>
  <pageMargins left="0.7" right="0.7" top="0.75" bottom="0.75" header="0.3" footer="0.3"/>
  <pageSetup paperSize="9" orientation="portrait" horizontalDpi="0" verticalDpi="0" r:id="rId4"/>
  <ignoredErrors>
    <ignoredError sqref="C12 D13" formula="1"/>
  </ignoredError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D351E-0392-415D-BEEC-AA06CF57BAFE}">
  <dimension ref="A1:F34"/>
  <sheetViews>
    <sheetView zoomScale="50" zoomScaleNormal="50" workbookViewId="0">
      <selection activeCell="E11" sqref="B10:E11"/>
    </sheetView>
  </sheetViews>
  <sheetFormatPr defaultRowHeight="14.4" x14ac:dyDescent="0.3"/>
  <cols>
    <col min="1" max="1" width="56.109375" style="70" customWidth="1"/>
    <col min="2" max="2" width="28.21875" style="70" customWidth="1"/>
    <col min="3" max="3" width="26.77734375" style="70" customWidth="1"/>
    <col min="4" max="4" width="27.5546875" style="70" customWidth="1"/>
    <col min="5" max="5" width="32" style="70" customWidth="1"/>
    <col min="6" max="6" width="127" style="70" customWidth="1"/>
    <col min="7" max="16384" width="8.88671875" style="70"/>
  </cols>
  <sheetData>
    <row r="1" spans="1:6" ht="93" customHeight="1" thickTop="1" thickBot="1" x14ac:dyDescent="0.35">
      <c r="A1" s="65"/>
      <c r="B1" s="140" t="s">
        <v>23</v>
      </c>
      <c r="C1" s="140" t="s">
        <v>23</v>
      </c>
      <c r="D1" s="140" t="s">
        <v>23</v>
      </c>
      <c r="E1" s="140" t="s">
        <v>23</v>
      </c>
      <c r="F1" s="69" t="s">
        <v>123</v>
      </c>
    </row>
    <row r="2" spans="1:6" ht="24.6" thickTop="1" thickBot="1" x14ac:dyDescent="0.5">
      <c r="A2" s="144" t="s">
        <v>121</v>
      </c>
      <c r="B2" s="72" t="s">
        <v>80</v>
      </c>
      <c r="C2" s="72" t="s">
        <v>80</v>
      </c>
      <c r="D2" s="72" t="s">
        <v>80</v>
      </c>
      <c r="E2" s="72" t="s">
        <v>80</v>
      </c>
      <c r="F2" s="184" t="s">
        <v>124</v>
      </c>
    </row>
    <row r="3" spans="1:6" ht="24.6" thickTop="1" thickBot="1" x14ac:dyDescent="0.5">
      <c r="A3" s="147" t="s">
        <v>63</v>
      </c>
      <c r="B3" s="190">
        <v>6600</v>
      </c>
      <c r="C3" s="190">
        <v>6666</v>
      </c>
      <c r="D3" s="190">
        <v>6666</v>
      </c>
      <c r="E3" s="190">
        <v>6666</v>
      </c>
      <c r="F3" s="78" t="s">
        <v>88</v>
      </c>
    </row>
    <row r="4" spans="1:6" ht="24.6" thickTop="1" thickBot="1" x14ac:dyDescent="0.5">
      <c r="A4" s="148" t="s">
        <v>64</v>
      </c>
      <c r="B4" s="192">
        <v>6666</v>
      </c>
      <c r="C4" s="192">
        <v>6666</v>
      </c>
      <c r="D4" s="192">
        <v>6666</v>
      </c>
      <c r="E4" s="192">
        <v>6666</v>
      </c>
      <c r="F4" s="149"/>
    </row>
    <row r="5" spans="1:6" ht="24.6" thickTop="1" thickBot="1" x14ac:dyDescent="0.5">
      <c r="A5" s="148" t="s">
        <v>89</v>
      </c>
      <c r="B5" s="27">
        <v>10000</v>
      </c>
      <c r="C5" s="27">
        <v>120000</v>
      </c>
      <c r="D5" s="27">
        <v>180000</v>
      </c>
      <c r="E5" s="27">
        <v>240000</v>
      </c>
      <c r="F5" s="149" t="s">
        <v>77</v>
      </c>
    </row>
    <row r="6" spans="1:6" ht="24.6" thickTop="1" thickBot="1" x14ac:dyDescent="0.5">
      <c r="A6" s="79" t="s">
        <v>65</v>
      </c>
      <c r="B6" s="23">
        <v>4</v>
      </c>
      <c r="C6" s="23">
        <v>10</v>
      </c>
      <c r="D6" s="23">
        <v>15</v>
      </c>
      <c r="E6" s="23">
        <v>20</v>
      </c>
      <c r="F6" s="149" t="s">
        <v>79</v>
      </c>
    </row>
    <row r="7" spans="1:6" ht="24" thickTop="1" x14ac:dyDescent="0.45">
      <c r="A7" s="150" t="s">
        <v>105</v>
      </c>
      <c r="B7" s="34">
        <f>(B10*B5)/B6</f>
        <v>0.18692500000000001</v>
      </c>
      <c r="C7" s="34">
        <f>(C10*C5)/C6</f>
        <v>0.93323999999999996</v>
      </c>
      <c r="D7" s="34">
        <f>(D10*D5)/D6</f>
        <v>0.93240000000000001</v>
      </c>
      <c r="E7" s="34">
        <f>(E10*E5)/E6</f>
        <v>0.93323999999999996</v>
      </c>
      <c r="F7" s="149" t="s">
        <v>44</v>
      </c>
    </row>
    <row r="8" spans="1:6" ht="23.4" x14ac:dyDescent="0.45">
      <c r="A8" s="82" t="s">
        <v>4</v>
      </c>
      <c r="B8" s="28">
        <f>B10*B5</f>
        <v>0.74770000000000003</v>
      </c>
      <c r="C8" s="28">
        <f>C10*C5</f>
        <v>9.3323999999999998</v>
      </c>
      <c r="D8" s="28">
        <f>D10*D5</f>
        <v>13.986000000000001</v>
      </c>
      <c r="E8" s="28">
        <f>E10*E5</f>
        <v>18.6648</v>
      </c>
      <c r="F8" s="149"/>
    </row>
    <row r="9" spans="1:6" ht="24" thickBot="1" x14ac:dyDescent="0.5">
      <c r="A9" s="152" t="s">
        <v>108</v>
      </c>
      <c r="B9" s="38">
        <f>B7*B3</f>
        <v>1233.7050000000002</v>
      </c>
      <c r="C9" s="38">
        <f>C7*C3</f>
        <v>6220.9778399999996</v>
      </c>
      <c r="D9" s="38">
        <f>D7*D3</f>
        <v>6215.3783999999996</v>
      </c>
      <c r="E9" s="38">
        <f>E7*E3</f>
        <v>6220.9778399999996</v>
      </c>
      <c r="F9" s="149" t="s">
        <v>70</v>
      </c>
    </row>
    <row r="10" spans="1:6" ht="24.6" thickTop="1" thickBot="1" x14ac:dyDescent="0.5">
      <c r="A10" s="84" t="s">
        <v>67</v>
      </c>
      <c r="B10" s="25">
        <v>7.4770000000000004E-5</v>
      </c>
      <c r="C10" s="25">
        <v>7.7769999999999996E-5</v>
      </c>
      <c r="D10" s="25">
        <v>7.7700000000000005E-5</v>
      </c>
      <c r="E10" s="25">
        <v>7.7769999999999996E-5</v>
      </c>
      <c r="F10" s="149"/>
    </row>
    <row r="11" spans="1:6" ht="24.6" thickTop="1" thickBot="1" x14ac:dyDescent="0.5">
      <c r="A11" s="85" t="s">
        <v>68</v>
      </c>
      <c r="B11" s="26">
        <v>8.0000000000000007E-5</v>
      </c>
      <c r="C11" s="26">
        <v>8.0000000000000007E-5</v>
      </c>
      <c r="D11" s="26">
        <v>8.0000000000000007E-5</v>
      </c>
      <c r="E11" s="26">
        <v>8.0000000000000007E-5</v>
      </c>
      <c r="F11" s="149"/>
    </row>
    <row r="12" spans="1:6" ht="24" thickTop="1" x14ac:dyDescent="0.45">
      <c r="A12" s="86" t="s">
        <v>66</v>
      </c>
      <c r="B12" s="7">
        <f>(B11-B10)/B10</f>
        <v>6.9947840042797943E-2</v>
      </c>
      <c r="C12" s="7">
        <f>(C11-C10)/C10</f>
        <v>2.8674296001028814E-2</v>
      </c>
      <c r="D12" s="7">
        <f>(D11-D10)/D10</f>
        <v>2.9601029601029619E-2</v>
      </c>
      <c r="E12" s="7">
        <f>(E11-E10)/E10</f>
        <v>2.8674296001028814E-2</v>
      </c>
      <c r="F12" s="149"/>
    </row>
    <row r="13" spans="1:6" ht="23.4" x14ac:dyDescent="0.45">
      <c r="A13" s="82" t="s">
        <v>8</v>
      </c>
      <c r="B13" s="4">
        <f>(B11-B10)*B5</f>
        <v>5.2300000000000027E-2</v>
      </c>
      <c r="C13" s="4">
        <f>(C11-C10)*C5</f>
        <v>0.26760000000000128</v>
      </c>
      <c r="D13" s="4">
        <f>(D11-D10)*D5</f>
        <v>0.41400000000000031</v>
      </c>
      <c r="E13" s="4">
        <f>(E11-E10)*E5</f>
        <v>0.53520000000000256</v>
      </c>
      <c r="F13" s="149" t="s">
        <v>78</v>
      </c>
    </row>
    <row r="14" spans="1:6" ht="23.4" x14ac:dyDescent="0.45">
      <c r="A14" s="87" t="s">
        <v>69</v>
      </c>
      <c r="B14" s="8">
        <f>B13*B4</f>
        <v>348.63180000000017</v>
      </c>
      <c r="C14" s="8">
        <f>C13*C4</f>
        <v>1783.8216000000086</v>
      </c>
      <c r="D14" s="8">
        <f>D13*D4</f>
        <v>2759.724000000002</v>
      </c>
      <c r="E14" s="8">
        <f>E13*E4</f>
        <v>3567.6432000000173</v>
      </c>
      <c r="F14" s="149"/>
    </row>
    <row r="15" spans="1:6" ht="24" thickBot="1" x14ac:dyDescent="0.5">
      <c r="A15" s="83" t="s">
        <v>10</v>
      </c>
      <c r="B15" s="5">
        <f>((B7)*(B4-B3))</f>
        <v>12.337050000000001</v>
      </c>
      <c r="C15" s="5">
        <f>((C7)*(C4-C3))</f>
        <v>0</v>
      </c>
      <c r="D15" s="5">
        <f>((D7)*(D4-D3))</f>
        <v>0</v>
      </c>
      <c r="E15" s="5">
        <f>((E7)*(E4-E3))</f>
        <v>0</v>
      </c>
      <c r="F15" s="90"/>
    </row>
    <row r="16" spans="1:6" ht="27" thickTop="1" thickBot="1" x14ac:dyDescent="0.5">
      <c r="A16" s="154" t="s">
        <v>30</v>
      </c>
      <c r="B16" s="30">
        <f>B15+B14</f>
        <v>360.96885000000015</v>
      </c>
      <c r="C16" s="30">
        <f>C15+C14</f>
        <v>1783.8216000000086</v>
      </c>
      <c r="D16" s="30">
        <f>D15+D14</f>
        <v>2759.724000000002</v>
      </c>
      <c r="E16" s="30">
        <f>E15+E14</f>
        <v>3567.6432000000173</v>
      </c>
      <c r="F16" s="90" t="s">
        <v>126</v>
      </c>
    </row>
    <row r="17" spans="1:6" ht="24" thickTop="1" x14ac:dyDescent="0.45">
      <c r="A17" s="155" t="s">
        <v>11</v>
      </c>
      <c r="B17" s="7">
        <f>(B18-B9)/B9</f>
        <v>0.29258927377290372</v>
      </c>
      <c r="C17" s="7">
        <f>(C18-C9)/C9</f>
        <v>0.28674296001028809</v>
      </c>
      <c r="D17" s="7">
        <f>(D18-D9)/D9</f>
        <v>0.44401544401544435</v>
      </c>
      <c r="E17" s="7">
        <f>(E18-E9)/E9</f>
        <v>0.57348592002057619</v>
      </c>
      <c r="F17" s="149" t="s">
        <v>43</v>
      </c>
    </row>
    <row r="18" spans="1:6" ht="21" x14ac:dyDescent="0.3">
      <c r="A18" s="91" t="s">
        <v>13</v>
      </c>
      <c r="B18" s="8">
        <f>B16+B9</f>
        <v>1594.6738500000004</v>
      </c>
      <c r="C18" s="8">
        <f>C16+C9</f>
        <v>8004.799440000008</v>
      </c>
      <c r="D18" s="8">
        <f>D16+D9</f>
        <v>8975.1024000000016</v>
      </c>
      <c r="E18" s="8">
        <f>E16+E9</f>
        <v>9788.6210400000164</v>
      </c>
      <c r="F18" s="110"/>
    </row>
    <row r="19" spans="1:6" ht="21.6" thickBot="1" x14ac:dyDescent="0.35">
      <c r="A19" s="156" t="s">
        <v>14</v>
      </c>
      <c r="B19" s="29">
        <f>B7+B13</f>
        <v>0.23922500000000002</v>
      </c>
      <c r="C19" s="29">
        <f>C7+C13</f>
        <v>1.2008400000000012</v>
      </c>
      <c r="D19" s="29">
        <f>D7+D13</f>
        <v>1.3464000000000003</v>
      </c>
      <c r="E19" s="29">
        <f>E7+E13</f>
        <v>1.4684400000000024</v>
      </c>
      <c r="F19" s="110"/>
    </row>
    <row r="20" spans="1:6" ht="22.2" customHeight="1" thickTop="1" thickBot="1" x14ac:dyDescent="0.5">
      <c r="A20" s="157" t="s">
        <v>12</v>
      </c>
      <c r="B20" s="39">
        <f>B10-(B10/B6)+B10*0.025</f>
        <v>5.7946750000000009E-5</v>
      </c>
      <c r="C20" s="39">
        <f>C10-(C10/C6)+C10*0.025</f>
        <v>7.193724999999999E-5</v>
      </c>
      <c r="D20" s="39">
        <f>D10-(D10/D6)+D10*0.025</f>
        <v>7.4462500000000001E-5</v>
      </c>
      <c r="E20" s="39">
        <f>E10-(E10/E6)+E10*0.025</f>
        <v>7.5825749999999998E-5</v>
      </c>
      <c r="F20" s="78" t="s">
        <v>41</v>
      </c>
    </row>
    <row r="21" spans="1:6" ht="29.4" thickTop="1" x14ac:dyDescent="0.3">
      <c r="A21" s="158" t="s">
        <v>22</v>
      </c>
      <c r="B21" s="159">
        <f>(B10*B5*0.0005)*B3+(B11*B5*0.0005)*B4</f>
        <v>5.1338100000000004</v>
      </c>
      <c r="C21" s="159">
        <f>(C10*C5*0.0005)*C3+(C11*C5*0.0005)*C4</f>
        <v>63.101689200000003</v>
      </c>
      <c r="D21" s="159">
        <f>(D10*D5*0.0005)*D3+(D11*D5*0.0005)*D4</f>
        <v>94.610538000000005</v>
      </c>
      <c r="E21" s="159">
        <f>(E10*E5*0.0005)*E3+(E11*E5*0.0005)*E4</f>
        <v>126.20337840000001</v>
      </c>
      <c r="F21" s="161" t="s">
        <v>84</v>
      </c>
    </row>
    <row r="22" spans="1:6" ht="28.8" x14ac:dyDescent="0.3">
      <c r="A22" s="99" t="s">
        <v>27</v>
      </c>
      <c r="B22" s="162">
        <f>(B10*B5*0.0005)*B3+B11*B5*0.0025*(-1)*B4</f>
        <v>-10.86459</v>
      </c>
      <c r="C22" s="162">
        <f>(C10*C5*0.0005)*C3+C11*C5*0.0025*(-1)*C4</f>
        <v>-128.87911080000003</v>
      </c>
      <c r="D22" s="162">
        <f>(D10*D5*0.0005)*D3+D11*D5*0.0025*(-1)*D4</f>
        <v>-193.36066200000002</v>
      </c>
      <c r="E22" s="162">
        <f>(E10*E5*0.0005)*E3+E11*E5*0.0025*(-1)*E4</f>
        <v>-257.75822160000007</v>
      </c>
      <c r="F22" s="161" t="s">
        <v>38</v>
      </c>
    </row>
    <row r="23" spans="1:6" ht="28.8" x14ac:dyDescent="0.3">
      <c r="A23" s="99" t="s">
        <v>32</v>
      </c>
      <c r="B23" s="162">
        <f>(B10*B5*0.0005)*B3+B11*B5*0.00225*(-1)*B4</f>
        <v>-9.5313899999999983</v>
      </c>
      <c r="C23" s="162">
        <f>(C10*C5*0.0005)*C3+C11*C5*0.00225*(-1)*C4</f>
        <v>-112.8807108</v>
      </c>
      <c r="D23" s="162">
        <f>(D10*D5*0.0005)*D3+D11*D5*0.00225*(-1)*D4</f>
        <v>-169.36306199999999</v>
      </c>
      <c r="E23" s="162">
        <f>(E10*E5*0.0005)*E3+E11*E5*0.00225*(-1)*E4</f>
        <v>-225.76142160000001</v>
      </c>
      <c r="F23" s="161" t="s">
        <v>85</v>
      </c>
    </row>
    <row r="24" spans="1:6" ht="28.8" x14ac:dyDescent="0.45">
      <c r="A24" s="99" t="s">
        <v>28</v>
      </c>
      <c r="B24" s="162">
        <f>(B10*B5*0.0025)*B3*(-1)+B11*B5*0.0005*B4</f>
        <v>-9.6706499999999984</v>
      </c>
      <c r="C24" s="162">
        <f>(C10*C5*0.0025)*C3*(-1)+C11*C5*0.0005*C4</f>
        <v>-123.527646</v>
      </c>
      <c r="D24" s="162">
        <f>(D10*D5*0.0025)*D3*(-1)+D11*D5*0.0005*D4</f>
        <v>-185.08149</v>
      </c>
      <c r="E24" s="162">
        <f>(E10*E5*0.0025)*E3*(-1)+E11*E5*0.0005*E4</f>
        <v>-247.05529200000001</v>
      </c>
      <c r="F24" s="164" t="s">
        <v>40</v>
      </c>
    </row>
    <row r="25" spans="1:6" ht="28.8" x14ac:dyDescent="0.45">
      <c r="A25" s="99" t="s">
        <v>33</v>
      </c>
      <c r="B25" s="162">
        <f>(B10*B5*0.00225)*B3*(-1)+B11*B5*0.0005*B4</f>
        <v>-8.4369449999999979</v>
      </c>
      <c r="C25" s="162">
        <f>(C10*C5*0.00225)*C3*(-1)+C11*C5*0.0005*C4</f>
        <v>-107.97520139999997</v>
      </c>
      <c r="D25" s="162">
        <f>(D10*D5*0.00225)*D3*(-1)+D11*D5*0.0005*D4</f>
        <v>-161.77382099999997</v>
      </c>
      <c r="E25" s="162">
        <f>(E10*E5*0.00225)*E3*(-1)+E11*E5*0.0005*E4</f>
        <v>-215.95040279999995</v>
      </c>
      <c r="F25" s="164" t="s">
        <v>54</v>
      </c>
    </row>
    <row r="26" spans="1:6" ht="28.8" x14ac:dyDescent="0.45">
      <c r="A26" s="99" t="s">
        <v>29</v>
      </c>
      <c r="B26" s="162">
        <f>(B10*B5*0.0025)*B3*(-1)+B11*B5*0.0025*B4*(-1)</f>
        <v>-25.669049999999999</v>
      </c>
      <c r="C26" s="162">
        <f>(C10*C5*0.0025)*C3*(-1)+C11*C5*0.0025*C4*(-1)</f>
        <v>-315.50844600000005</v>
      </c>
      <c r="D26" s="162">
        <f>(D10*D5*0.0025)*D3*(-1)+D11*D5*0.0025*D4*(-1)</f>
        <v>-473.05269000000004</v>
      </c>
      <c r="E26" s="162">
        <f>(E10*E5*0.0025)*E3*(-1)+E11*E5*0.0025*E4*(-1)</f>
        <v>-631.0168920000001</v>
      </c>
      <c r="F26" s="165"/>
    </row>
    <row r="27" spans="1:6" ht="29.4" thickBot="1" x14ac:dyDescent="0.5">
      <c r="A27" s="166" t="s">
        <v>34</v>
      </c>
      <c r="B27" s="167">
        <f>(B10*B5*0.00225)*B3*(-1)+B11*B5*0.00225*B4*(-1)</f>
        <v>-23.102145</v>
      </c>
      <c r="C27" s="167">
        <f>(C10*C5*0.00225)*C3*(-1)+C11*C5*0.00225*C4*(-1)</f>
        <v>-283.95760139999999</v>
      </c>
      <c r="D27" s="167">
        <f>(D10*D5*0.00225)*D3*(-1)+D11*D5*0.00225*D4*(-1)</f>
        <v>-425.74742099999997</v>
      </c>
      <c r="E27" s="167">
        <f>(E10*E5*0.00225)*E3*(-1)+E11*E5*0.00225*E4*(-1)</f>
        <v>-567.91520279999997</v>
      </c>
      <c r="F27" s="165"/>
    </row>
    <row r="28" spans="1:6" ht="26.4" thickTop="1" x14ac:dyDescent="0.45">
      <c r="A28" s="169" t="s">
        <v>31</v>
      </c>
      <c r="B28" s="41">
        <f>B16+B21</f>
        <v>366.10266000000013</v>
      </c>
      <c r="C28" s="41">
        <f>C16+C21</f>
        <v>1846.9232892000086</v>
      </c>
      <c r="D28" s="41">
        <f>D16+D21</f>
        <v>2854.3345380000019</v>
      </c>
      <c r="E28" s="41">
        <f>E16+E21</f>
        <v>3693.8465784000173</v>
      </c>
      <c r="F28" s="149" t="s">
        <v>86</v>
      </c>
    </row>
    <row r="29" spans="1:6" ht="25.8" x14ac:dyDescent="0.45">
      <c r="A29" s="170" t="s">
        <v>35</v>
      </c>
      <c r="B29" s="171">
        <f>B16+B23</f>
        <v>351.43746000000016</v>
      </c>
      <c r="C29" s="171">
        <f>C16+C23</f>
        <v>1670.9408892000085</v>
      </c>
      <c r="D29" s="171">
        <f>D16+D23</f>
        <v>2590.3609380000021</v>
      </c>
      <c r="E29" s="171">
        <f>E16+E23</f>
        <v>3341.8817784000171</v>
      </c>
      <c r="F29" s="173"/>
    </row>
    <row r="30" spans="1:6" ht="25.8" x14ac:dyDescent="0.3">
      <c r="A30" s="170" t="s">
        <v>36</v>
      </c>
      <c r="B30" s="171">
        <f>B16+B25</f>
        <v>352.53190500000017</v>
      </c>
      <c r="C30" s="171">
        <f>C16+C25</f>
        <v>1675.8463986000086</v>
      </c>
      <c r="D30" s="171">
        <f>D16+D25</f>
        <v>2597.9501790000022</v>
      </c>
      <c r="E30" s="171">
        <f>E16+E25</f>
        <v>3351.6927972000171</v>
      </c>
      <c r="F30" s="116" t="s">
        <v>15</v>
      </c>
    </row>
    <row r="31" spans="1:6" ht="26.4" thickBot="1" x14ac:dyDescent="0.35">
      <c r="A31" s="174" t="s">
        <v>37</v>
      </c>
      <c r="B31" s="175">
        <f>B16+B27</f>
        <v>337.86670500000014</v>
      </c>
      <c r="C31" s="175">
        <f>C16+C27</f>
        <v>1499.8639986000087</v>
      </c>
      <c r="D31" s="175">
        <f>D16+D27</f>
        <v>2333.9765790000019</v>
      </c>
      <c r="E31" s="175">
        <f>E16+E27</f>
        <v>2999.7279972000174</v>
      </c>
      <c r="F31" s="178" t="s">
        <v>75</v>
      </c>
    </row>
    <row r="32" spans="1:6" ht="27" thickTop="1" thickBot="1" x14ac:dyDescent="0.55000000000000004">
      <c r="A32" s="121" t="s">
        <v>16</v>
      </c>
      <c r="B32" s="122" t="s">
        <v>17</v>
      </c>
      <c r="C32" s="121" t="s">
        <v>18</v>
      </c>
      <c r="D32" s="123" t="s">
        <v>19</v>
      </c>
      <c r="E32" s="124"/>
      <c r="F32" s="125" t="s">
        <v>168</v>
      </c>
    </row>
    <row r="33" spans="1:6" ht="30" thickTop="1" thickBot="1" x14ac:dyDescent="0.55000000000000004">
      <c r="A33" s="126" t="s">
        <v>20</v>
      </c>
      <c r="B33" s="127" t="s">
        <v>125</v>
      </c>
      <c r="C33" s="128"/>
      <c r="D33" s="128"/>
      <c r="E33" s="129"/>
      <c r="F33" s="130" t="s">
        <v>87</v>
      </c>
    </row>
    <row r="34" spans="1:6" ht="26.4" thickTop="1" x14ac:dyDescent="0.5">
      <c r="A34" s="179"/>
      <c r="B34" s="180"/>
      <c r="C34" s="181"/>
      <c r="D34" s="181"/>
      <c r="E34" s="182"/>
    </row>
  </sheetData>
  <sheetProtection algorithmName="SHA-512" hashValue="1lyDu2RvzeAqPO6ac3jWZVQQsCk+mPNoqtsF3OaLDCqz6qKObG0WxPnh5IL1n+aSb0aiv+g2hy9Zs4damgZ5QA==" saltValue="75x8wjANAaThOYdTlRjB3Q==" spinCount="100000" sheet="1" objects="1" scenarios="1"/>
  <hyperlinks>
    <hyperlink ref="D32:E32" r:id="rId1" display="Created by MinistryOfMarginTrading" xr:uid="{D3819244-B403-4DC3-A265-7C8C26EEC1FA}"/>
    <hyperlink ref="D32" r:id="rId2" xr:uid="{1225A80F-836F-4735-A37F-3BF493D4EE77}"/>
    <hyperlink ref="F33" r:id="rId3" xr:uid="{5A6B8F3C-31E8-47F0-A51E-0AC011DA37EF}"/>
  </hyperlinks>
  <pageMargins left="0.7" right="0.7" top="0.75" bottom="0.75" header="0.3" footer="0.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53CCB-685B-4B4A-8E23-6B9F96D30809}">
  <dimension ref="A1:F32"/>
  <sheetViews>
    <sheetView zoomScale="50" zoomScaleNormal="50" workbookViewId="0">
      <selection activeCell="B3" sqref="B3:E4"/>
    </sheetView>
  </sheetViews>
  <sheetFormatPr defaultRowHeight="14.4" x14ac:dyDescent="0.3"/>
  <cols>
    <col min="1" max="1" width="58.5546875" style="70" customWidth="1"/>
    <col min="2" max="2" width="35.77734375" style="70" customWidth="1"/>
    <col min="3" max="3" width="36.44140625" style="70" customWidth="1"/>
    <col min="4" max="4" width="32.21875" style="70" customWidth="1"/>
    <col min="5" max="5" width="39.33203125" style="70" customWidth="1"/>
    <col min="6" max="6" width="132.21875" style="70" customWidth="1"/>
    <col min="7" max="16384" width="8.88671875" style="70"/>
  </cols>
  <sheetData>
    <row r="1" spans="1:6" ht="78" customHeight="1" thickTop="1" thickBot="1" x14ac:dyDescent="0.35">
      <c r="A1" s="65"/>
      <c r="B1" s="66" t="s">
        <v>23</v>
      </c>
      <c r="C1" s="66" t="s">
        <v>23</v>
      </c>
      <c r="D1" s="66" t="s">
        <v>23</v>
      </c>
      <c r="E1" s="66" t="s">
        <v>23</v>
      </c>
      <c r="F1" s="69" t="s">
        <v>122</v>
      </c>
    </row>
    <row r="2" spans="1:6" ht="24.6" thickTop="1" thickBot="1" x14ac:dyDescent="0.5">
      <c r="A2" s="71" t="s">
        <v>121</v>
      </c>
      <c r="B2" s="72" t="s">
        <v>0</v>
      </c>
      <c r="C2" s="72" t="s">
        <v>0</v>
      </c>
      <c r="D2" s="72" t="s">
        <v>0</v>
      </c>
      <c r="E2" s="72" t="s">
        <v>0</v>
      </c>
      <c r="F2" s="184" t="s">
        <v>124</v>
      </c>
    </row>
    <row r="3" spans="1:6" ht="24.6" thickTop="1" thickBot="1" x14ac:dyDescent="0.5">
      <c r="A3" s="77" t="s">
        <v>96</v>
      </c>
      <c r="B3" s="1">
        <v>50000</v>
      </c>
      <c r="C3" s="1">
        <v>50000</v>
      </c>
      <c r="D3" s="1">
        <v>50000</v>
      </c>
      <c r="E3" s="1">
        <v>50000</v>
      </c>
      <c r="F3" s="78" t="s">
        <v>95</v>
      </c>
    </row>
    <row r="4" spans="1:6" ht="24.6" thickTop="1" thickBot="1" x14ac:dyDescent="0.5">
      <c r="A4" s="79" t="s">
        <v>21</v>
      </c>
      <c r="B4" s="23">
        <v>1</v>
      </c>
      <c r="C4" s="23">
        <v>5</v>
      </c>
      <c r="D4" s="23">
        <v>25</v>
      </c>
      <c r="E4" s="23">
        <v>100</v>
      </c>
      <c r="F4" s="149" t="s">
        <v>47</v>
      </c>
    </row>
    <row r="5" spans="1:6" ht="24" thickTop="1" x14ac:dyDescent="0.45">
      <c r="A5" s="81" t="s">
        <v>105</v>
      </c>
      <c r="B5" s="3">
        <f>B6/B4</f>
        <v>7.5007500750075007</v>
      </c>
      <c r="C5" s="3">
        <f>C6/C4</f>
        <v>1.5001500150015001</v>
      </c>
      <c r="D5" s="3">
        <f>D6/D4</f>
        <v>0.30003000300030003</v>
      </c>
      <c r="E5" s="3">
        <f>E6/E4</f>
        <v>7.5007500750075007E-2</v>
      </c>
      <c r="F5" s="149" t="s">
        <v>48</v>
      </c>
    </row>
    <row r="6" spans="1:6" ht="23.4" x14ac:dyDescent="0.45">
      <c r="A6" s="82" t="s">
        <v>4</v>
      </c>
      <c r="B6" s="4">
        <f>B3/B8</f>
        <v>7.5007500750075007</v>
      </c>
      <c r="C6" s="4">
        <f>C3/C8</f>
        <v>7.5007500750075007</v>
      </c>
      <c r="D6" s="4">
        <f>D3/D8</f>
        <v>7.5007500750075007</v>
      </c>
      <c r="E6" s="4">
        <f>E3/E8</f>
        <v>7.5007500750075007</v>
      </c>
      <c r="F6" s="149"/>
    </row>
    <row r="7" spans="1:6" ht="24" thickBot="1" x14ac:dyDescent="0.5">
      <c r="A7" s="83" t="s">
        <v>108</v>
      </c>
      <c r="B7" s="5">
        <f>B5*B8</f>
        <v>50000</v>
      </c>
      <c r="C7" s="5">
        <f>C5*C8</f>
        <v>10000</v>
      </c>
      <c r="D7" s="5">
        <f>D5*D8</f>
        <v>2000</v>
      </c>
      <c r="E7" s="5">
        <f>E5*E8</f>
        <v>500</v>
      </c>
      <c r="F7" s="149" t="s">
        <v>44</v>
      </c>
    </row>
    <row r="8" spans="1:6" ht="24.6" thickTop="1" thickBot="1" x14ac:dyDescent="0.5">
      <c r="A8" s="84" t="s">
        <v>5</v>
      </c>
      <c r="B8" s="2">
        <v>6666</v>
      </c>
      <c r="C8" s="2">
        <v>6666</v>
      </c>
      <c r="D8" s="2">
        <v>6666</v>
      </c>
      <c r="E8" s="2">
        <v>6666</v>
      </c>
      <c r="F8" s="149"/>
    </row>
    <row r="9" spans="1:6" ht="24.6" thickTop="1" thickBot="1" x14ac:dyDescent="0.5">
      <c r="A9" s="85" t="s">
        <v>6</v>
      </c>
      <c r="B9" s="6">
        <v>9000</v>
      </c>
      <c r="C9" s="6">
        <v>9000</v>
      </c>
      <c r="D9" s="6">
        <v>9000</v>
      </c>
      <c r="E9" s="6">
        <v>9000</v>
      </c>
      <c r="F9" s="149" t="s">
        <v>70</v>
      </c>
    </row>
    <row r="10" spans="1:6" ht="24" thickTop="1" x14ac:dyDescent="0.45">
      <c r="A10" s="86" t="s">
        <v>7</v>
      </c>
      <c r="B10" s="7">
        <f>(B9-B8)/B8</f>
        <v>0.35013501350135012</v>
      </c>
      <c r="C10" s="7">
        <f>(C9-C8)/C8</f>
        <v>0.35013501350135012</v>
      </c>
      <c r="D10" s="7">
        <f>(D9-D8)/D8</f>
        <v>0.35013501350135012</v>
      </c>
      <c r="E10" s="7">
        <f>(E9-E8)/E8</f>
        <v>0.35013501350135012</v>
      </c>
      <c r="F10" s="149"/>
    </row>
    <row r="11" spans="1:6" ht="23.4" x14ac:dyDescent="0.45">
      <c r="A11" s="82" t="s">
        <v>8</v>
      </c>
      <c r="B11" s="4">
        <f>B3*((1/B8)-(1/B9))</f>
        <v>1.9451945194519455</v>
      </c>
      <c r="C11" s="4">
        <f>C3*((1/C8)-(1/C9))</f>
        <v>1.9451945194519455</v>
      </c>
      <c r="D11" s="4">
        <f>D3*((1/D8)-(1/D9))</f>
        <v>1.9451945194519455</v>
      </c>
      <c r="E11" s="4">
        <f>E3*((1/E8)-(1/E9))</f>
        <v>1.9451945194519455</v>
      </c>
      <c r="F11" s="149"/>
    </row>
    <row r="12" spans="1:6" ht="23.4" x14ac:dyDescent="0.45">
      <c r="A12" s="87" t="s">
        <v>9</v>
      </c>
      <c r="B12" s="8">
        <f>B11*B9</f>
        <v>17506.750675067509</v>
      </c>
      <c r="C12" s="8">
        <f>C11*C9</f>
        <v>17506.750675067509</v>
      </c>
      <c r="D12" s="8">
        <f>D11*D9</f>
        <v>17506.750675067509</v>
      </c>
      <c r="E12" s="8">
        <f>E11*E9</f>
        <v>17506.750675067509</v>
      </c>
      <c r="F12" s="149"/>
    </row>
    <row r="13" spans="1:6" ht="23.4" x14ac:dyDescent="0.45">
      <c r="A13" s="87" t="s">
        <v>10</v>
      </c>
      <c r="B13" s="8">
        <f>((B5)*(B9-B8))</f>
        <v>17506.750675067506</v>
      </c>
      <c r="C13" s="8">
        <f>((C5)*(C9-C8))</f>
        <v>3501.3501350135011</v>
      </c>
      <c r="D13" s="8">
        <f>((D5)*(D9-D8))</f>
        <v>700.27002700270032</v>
      </c>
      <c r="E13" s="8">
        <f>((E5)*(E9-E8))</f>
        <v>175.06750675067508</v>
      </c>
      <c r="F13" s="149" t="s">
        <v>42</v>
      </c>
    </row>
    <row r="14" spans="1:6" ht="25.8" x14ac:dyDescent="0.45">
      <c r="A14" s="88" t="s">
        <v>30</v>
      </c>
      <c r="B14" s="11">
        <f>B13+B12</f>
        <v>35013.501350135019</v>
      </c>
      <c r="C14" s="11">
        <f>C13+C12</f>
        <v>21008.10081008101</v>
      </c>
      <c r="D14" s="11">
        <f>D13+D12</f>
        <v>18207.020702070211</v>
      </c>
      <c r="E14" s="11">
        <f>E13+E12</f>
        <v>17681.818181818184</v>
      </c>
      <c r="F14" s="149"/>
    </row>
    <row r="15" spans="1:6" ht="23.4" x14ac:dyDescent="0.45">
      <c r="A15" s="89" t="s">
        <v>11</v>
      </c>
      <c r="B15" s="9">
        <f>(B16-B7)/B7</f>
        <v>0.70027002700270036</v>
      </c>
      <c r="C15" s="9">
        <f>(C16-C7)/C7</f>
        <v>2.1008100810081012</v>
      </c>
      <c r="D15" s="9">
        <f>(D16-D7)/D7</f>
        <v>9.103510351035105</v>
      </c>
      <c r="E15" s="9">
        <f>(E16-E7)/E7</f>
        <v>35.363636363636367</v>
      </c>
      <c r="F15" s="90" t="s">
        <v>128</v>
      </c>
    </row>
    <row r="16" spans="1:6" ht="23.4" x14ac:dyDescent="0.45">
      <c r="A16" s="91" t="s">
        <v>13</v>
      </c>
      <c r="B16" s="8">
        <f>B14+B7</f>
        <v>85013.501350135019</v>
      </c>
      <c r="C16" s="8">
        <f>C14+C7</f>
        <v>31008.10081008101</v>
      </c>
      <c r="D16" s="8">
        <f>D14+D7</f>
        <v>20207.020702070211</v>
      </c>
      <c r="E16" s="8">
        <f>E14+E7</f>
        <v>18181.818181818184</v>
      </c>
      <c r="F16" s="149" t="s">
        <v>45</v>
      </c>
    </row>
    <row r="17" spans="1:6" ht="23.4" x14ac:dyDescent="0.45">
      <c r="A17" s="91" t="s">
        <v>14</v>
      </c>
      <c r="B17" s="4">
        <f>B5+B11</f>
        <v>9.445944594459446</v>
      </c>
      <c r="C17" s="4">
        <f>C5+C11</f>
        <v>3.4453445344534455</v>
      </c>
      <c r="D17" s="4">
        <f>D5+D11</f>
        <v>2.2452245224522454</v>
      </c>
      <c r="E17" s="4">
        <f>E5+E11</f>
        <v>2.0202020202020208</v>
      </c>
      <c r="F17" s="149" t="s">
        <v>43</v>
      </c>
    </row>
    <row r="18" spans="1:6" ht="24" thickBot="1" x14ac:dyDescent="0.5">
      <c r="A18" s="92" t="s">
        <v>12</v>
      </c>
      <c r="B18" s="10">
        <f>(B8-(B8/(B4+1)))+(B8-(B8/(B4+1)))*0.005</f>
        <v>3349.665</v>
      </c>
      <c r="C18" s="10">
        <f>(C8-(C8/(C4+1)))+(C8-(C8/(C4+1)))*0.005</f>
        <v>5582.7749999999996</v>
      </c>
      <c r="D18" s="10">
        <f>(D8-(D8/(D4+1)))+(D8-(D8/(D4+1)))*0.005</f>
        <v>6441.6634615384619</v>
      </c>
      <c r="E18" s="10">
        <f>(E8-(E8/(E4+1)))+(E8-(E8/(E4+1)))*0.005</f>
        <v>6633</v>
      </c>
      <c r="F18" s="78" t="s">
        <v>41</v>
      </c>
    </row>
    <row r="19" spans="1:6" ht="28.8" x14ac:dyDescent="0.3">
      <c r="A19" s="94" t="s">
        <v>22</v>
      </c>
      <c r="B19" s="95">
        <f>B8*B6*0.00025+B9*B6*0.00025</f>
        <v>29.376687668766877</v>
      </c>
      <c r="C19" s="95">
        <f>C8*C6*0.00025+C9*C6*0.00025</f>
        <v>29.376687668766877</v>
      </c>
      <c r="D19" s="95">
        <f>D8*D6*0.00025+D9*D6*0.00025</f>
        <v>29.376687668766877</v>
      </c>
      <c r="E19" s="95">
        <f>E8*E6*0.00025+E9*E6*0.00025</f>
        <v>29.376687668766877</v>
      </c>
      <c r="F19" s="161" t="s">
        <v>84</v>
      </c>
    </row>
    <row r="20" spans="1:6" ht="28.8" x14ac:dyDescent="0.3">
      <c r="A20" s="99" t="s">
        <v>27</v>
      </c>
      <c r="B20" s="100">
        <f>B8*B6*0.00025+B9*B6*0.00075*(-1)</f>
        <v>-38.130063006300631</v>
      </c>
      <c r="C20" s="100">
        <f>C8*C6*0.00025+C9*C6*0.00075*(-1)</f>
        <v>-38.130063006300631</v>
      </c>
      <c r="D20" s="100">
        <f>D8*D6*0.00025+D9*D6*0.00075*(-1)</f>
        <v>-38.130063006300631</v>
      </c>
      <c r="E20" s="100">
        <f>E8*E6*0.00025+E9*E6*0.00075*(-1)</f>
        <v>-38.130063006300631</v>
      </c>
      <c r="F20" s="161" t="s">
        <v>38</v>
      </c>
    </row>
    <row r="21" spans="1:6" ht="28.8" x14ac:dyDescent="0.3">
      <c r="A21" s="99" t="s">
        <v>32</v>
      </c>
      <c r="B21" s="100">
        <f>B8*B6*0.00025+B9*B6*0.000675*(-1)</f>
        <v>-33.067056705670574</v>
      </c>
      <c r="C21" s="100">
        <f>C8*C6*0.00025+C9*C6*0.000675*(-1)</f>
        <v>-33.067056705670574</v>
      </c>
      <c r="D21" s="100">
        <f>D8*D6*0.00025+D9*D6*0.000675*(-1)</f>
        <v>-33.067056705670574</v>
      </c>
      <c r="E21" s="100">
        <f>E8*E6*0.00025+E9*E6*0.000675*(-1)</f>
        <v>-33.067056705670574</v>
      </c>
      <c r="F21" s="161" t="s">
        <v>39</v>
      </c>
    </row>
    <row r="22" spans="1:6" ht="28.8" x14ac:dyDescent="0.45">
      <c r="A22" s="99" t="s">
        <v>28</v>
      </c>
      <c r="B22" s="100">
        <f>B8*B6*0.00075*(-1)+B9*B6*0.00025</f>
        <v>-20.623312331233123</v>
      </c>
      <c r="C22" s="100">
        <f>C8*C6*0.00075*(-1)+C9*C6*0.00025</f>
        <v>-20.623312331233123</v>
      </c>
      <c r="D22" s="100">
        <f>D8*D6*0.00075*(-1)+D9*D6*0.00025</f>
        <v>-20.623312331233123</v>
      </c>
      <c r="E22" s="100">
        <f>E8*E6*0.00075*(-1)+E9*E6*0.00025</f>
        <v>-20.623312331233123</v>
      </c>
      <c r="F22" s="164" t="s">
        <v>40</v>
      </c>
    </row>
    <row r="23" spans="1:6" ht="28.8" x14ac:dyDescent="0.45">
      <c r="A23" s="99" t="s">
        <v>33</v>
      </c>
      <c r="B23" s="100">
        <f>B8*B6*0.000675*(-1)+B9*B6*0.00025</f>
        <v>-16.873312331233123</v>
      </c>
      <c r="C23" s="100">
        <f>C8*C6*0.000675*(-1)+C9*C6*0.00025</f>
        <v>-16.873312331233123</v>
      </c>
      <c r="D23" s="100">
        <f>D8*D6*0.000675*(-1)+D9*D6*0.00025</f>
        <v>-16.873312331233123</v>
      </c>
      <c r="E23" s="100">
        <f>E8*E6*0.000675*(-1)+E9*E6*0.00025</f>
        <v>-16.873312331233123</v>
      </c>
      <c r="F23" s="164" t="s">
        <v>54</v>
      </c>
    </row>
    <row r="24" spans="1:6" ht="28.8" x14ac:dyDescent="0.45">
      <c r="A24" s="99" t="s">
        <v>29</v>
      </c>
      <c r="B24" s="100">
        <f>B8*B6*0.00075*(-1)+B9*B6*0.00075*(-1)</f>
        <v>-88.130063006300631</v>
      </c>
      <c r="C24" s="100">
        <f>C8*C6*0.00075*(-1)+C9*C6*0.00075*(-1)</f>
        <v>-88.130063006300631</v>
      </c>
      <c r="D24" s="100">
        <f>D8*D6*0.00075*(-1)+D9*D6*0.00075*(-1)</f>
        <v>-88.130063006300631</v>
      </c>
      <c r="E24" s="100">
        <f>E8*E6*0.00075*(-1)+E9*E6*0.00075*(-1)</f>
        <v>-88.130063006300631</v>
      </c>
      <c r="F24" s="165"/>
    </row>
    <row r="25" spans="1:6" ht="28.8" x14ac:dyDescent="0.45">
      <c r="A25" s="99" t="s">
        <v>34</v>
      </c>
      <c r="B25" s="100">
        <f>B8*B6*0.000675*(-1)+B9*B6*0.000675*(-1)</f>
        <v>-79.317056705670581</v>
      </c>
      <c r="C25" s="100">
        <f>C8*C6*0.000675*(-1)+C9*C6*0.000675*(-1)</f>
        <v>-79.317056705670581</v>
      </c>
      <c r="D25" s="100">
        <f>D8*D6*0.000675*(-1)+D9*D6*0.000675*(-1)</f>
        <v>-79.317056705670581</v>
      </c>
      <c r="E25" s="100">
        <f>E8*E6*0.000675*(-1)+E9*E6*0.000675*(-1)</f>
        <v>-79.317056705670581</v>
      </c>
      <c r="F25" s="165"/>
    </row>
    <row r="26" spans="1:6" ht="25.8" x14ac:dyDescent="0.3">
      <c r="A26" s="112" t="s">
        <v>31</v>
      </c>
      <c r="B26" s="37">
        <f>B14+B19</f>
        <v>35042.878037803785</v>
      </c>
      <c r="C26" s="37">
        <f>C14+C19</f>
        <v>21037.477497749776</v>
      </c>
      <c r="D26" s="37">
        <f>D14+D19</f>
        <v>18236.397389738977</v>
      </c>
      <c r="E26" s="37">
        <f>E14+E19</f>
        <v>17711.19486948695</v>
      </c>
      <c r="F26" s="185"/>
    </row>
    <row r="27" spans="1:6" ht="25.8" x14ac:dyDescent="0.3">
      <c r="A27" s="112" t="s">
        <v>35</v>
      </c>
      <c r="B27" s="114">
        <f>B14+B21</f>
        <v>34980.434293429345</v>
      </c>
      <c r="C27" s="114">
        <f>C14+C21</f>
        <v>20975.033753375341</v>
      </c>
      <c r="D27" s="114">
        <f>D14+D21</f>
        <v>18173.953645364541</v>
      </c>
      <c r="E27" s="114">
        <f>E14+E21</f>
        <v>17648.751125112514</v>
      </c>
      <c r="F27" s="185"/>
    </row>
    <row r="28" spans="1:6" ht="25.8" x14ac:dyDescent="0.3">
      <c r="A28" s="112" t="s">
        <v>36</v>
      </c>
      <c r="B28" s="114">
        <f>B14+B23</f>
        <v>34996.628037803785</v>
      </c>
      <c r="C28" s="114">
        <f>C14+C23</f>
        <v>20991.227497749776</v>
      </c>
      <c r="D28" s="114">
        <f>D14+D23</f>
        <v>18190.147389738977</v>
      </c>
      <c r="E28" s="114">
        <f>E14+E23</f>
        <v>17664.94486948695</v>
      </c>
      <c r="F28" s="186" t="s">
        <v>15</v>
      </c>
    </row>
    <row r="29" spans="1:6" ht="26.4" thickBot="1" x14ac:dyDescent="0.35">
      <c r="A29" s="117" t="s">
        <v>37</v>
      </c>
      <c r="B29" s="118">
        <f>B14+B25</f>
        <v>34934.184293429345</v>
      </c>
      <c r="C29" s="118">
        <f>C14+C25</f>
        <v>20928.783753375341</v>
      </c>
      <c r="D29" s="118">
        <f>D14+D25</f>
        <v>18127.703645364541</v>
      </c>
      <c r="E29" s="118">
        <f>E14+E25</f>
        <v>17602.501125112514</v>
      </c>
      <c r="F29" s="187" t="s">
        <v>74</v>
      </c>
    </row>
    <row r="30" spans="1:6" ht="27" thickTop="1" thickBot="1" x14ac:dyDescent="0.55000000000000004">
      <c r="A30" s="121" t="s">
        <v>16</v>
      </c>
      <c r="B30" s="122" t="s">
        <v>17</v>
      </c>
      <c r="C30" s="121" t="s">
        <v>18</v>
      </c>
      <c r="D30" s="123" t="s">
        <v>19</v>
      </c>
      <c r="E30" s="124"/>
      <c r="F30" s="125" t="s">
        <v>168</v>
      </c>
    </row>
    <row r="31" spans="1:6" ht="30" thickTop="1" thickBot="1" x14ac:dyDescent="0.55000000000000004">
      <c r="A31" s="126" t="s">
        <v>20</v>
      </c>
      <c r="B31" s="127" t="s">
        <v>125</v>
      </c>
      <c r="C31" s="128"/>
      <c r="D31" s="128"/>
      <c r="E31" s="129"/>
      <c r="F31" s="130" t="s">
        <v>87</v>
      </c>
    </row>
    <row r="32" spans="1:6" ht="15" thickTop="1" x14ac:dyDescent="0.3"/>
  </sheetData>
  <sheetProtection algorithmName="SHA-512" hashValue="innZ6kThBr08sy60/FNx38+SEmS1Ip6GehaI6oNnkKo+Ou5N+Jp9+euXgHcVoPKe8EwJqdcGXEjweokPH+TAww==" saltValue="5XWDF5WqFPJ7ZfzKHYrkJA==" spinCount="100000" sheet="1" objects="1" scenarios="1"/>
  <hyperlinks>
    <hyperlink ref="D30:E30" r:id="rId1" display="Created by MinistryOfMarginTrading" xr:uid="{12DF00F4-CD3E-4522-9D43-C43177C8061D}"/>
    <hyperlink ref="D30" r:id="rId2" xr:uid="{9EA6D3B3-CB45-4A38-81EB-C5758FB18C84}"/>
    <hyperlink ref="F31" r:id="rId3" xr:uid="{2D946EC8-82DA-448E-87E9-71834D80A395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30790-3A98-46E1-8519-6E504D7531F0}">
  <dimension ref="A1:E30"/>
  <sheetViews>
    <sheetView workbookViewId="0">
      <selection activeCell="B23" sqref="B23"/>
    </sheetView>
  </sheetViews>
  <sheetFormatPr defaultRowHeight="14.4" x14ac:dyDescent="0.3"/>
  <cols>
    <col min="1" max="1" width="87.33203125" style="70" customWidth="1"/>
    <col min="2" max="2" width="80.44140625" style="70" customWidth="1"/>
    <col min="3" max="4" width="8.88671875" style="70"/>
    <col min="5" max="5" width="62.44140625" style="70" customWidth="1"/>
    <col min="6" max="16384" width="8.88671875" style="70"/>
  </cols>
  <sheetData>
    <row r="1" spans="1:5" ht="25.2" customHeight="1" x14ac:dyDescent="0.3">
      <c r="A1" s="131"/>
      <c r="B1" s="131"/>
      <c r="C1" s="131"/>
      <c r="D1" s="131"/>
      <c r="E1" s="131"/>
    </row>
    <row r="2" spans="1:5" x14ac:dyDescent="0.3">
      <c r="A2" s="131"/>
      <c r="B2" s="131"/>
      <c r="C2" s="131"/>
      <c r="D2" s="131"/>
      <c r="E2" s="131"/>
    </row>
    <row r="3" spans="1:5" ht="28.8" x14ac:dyDescent="0.3">
      <c r="A3" s="131"/>
      <c r="B3" s="132" t="s">
        <v>94</v>
      </c>
      <c r="C3" s="131"/>
      <c r="D3" s="131"/>
      <c r="E3" s="131"/>
    </row>
    <row r="4" spans="1:5" ht="28.8" x14ac:dyDescent="0.3">
      <c r="A4" s="131"/>
      <c r="B4" s="132" t="s">
        <v>93</v>
      </c>
      <c r="C4" s="131"/>
      <c r="D4" s="131"/>
      <c r="E4" s="131"/>
    </row>
    <row r="5" spans="1:5" x14ac:dyDescent="0.3">
      <c r="A5" s="131"/>
      <c r="B5" s="133" t="s">
        <v>110</v>
      </c>
      <c r="C5" s="131"/>
      <c r="D5" s="131"/>
      <c r="E5" s="131"/>
    </row>
    <row r="6" spans="1:5" x14ac:dyDescent="0.3">
      <c r="A6" s="131"/>
      <c r="B6" s="132"/>
      <c r="C6" s="131"/>
      <c r="D6" s="131"/>
      <c r="E6" s="131"/>
    </row>
    <row r="7" spans="1:5" x14ac:dyDescent="0.3">
      <c r="A7" s="131"/>
      <c r="B7" s="132"/>
      <c r="C7" s="131"/>
      <c r="D7" s="131"/>
      <c r="E7" s="131"/>
    </row>
    <row r="8" spans="1:5" x14ac:dyDescent="0.3">
      <c r="A8" s="131"/>
      <c r="B8" s="132"/>
      <c r="C8" s="131"/>
      <c r="D8" s="131"/>
      <c r="E8" s="131"/>
    </row>
    <row r="9" spans="1:5" x14ac:dyDescent="0.3">
      <c r="A9" s="131"/>
      <c r="B9" s="131"/>
      <c r="C9" s="131"/>
      <c r="D9" s="131"/>
      <c r="E9" s="131"/>
    </row>
    <row r="10" spans="1:5" x14ac:dyDescent="0.3">
      <c r="A10" s="131"/>
      <c r="B10" s="131"/>
      <c r="C10" s="131"/>
      <c r="D10" s="131"/>
      <c r="E10" s="131"/>
    </row>
    <row r="11" spans="1:5" ht="23.4" customHeight="1" x14ac:dyDescent="0.45">
      <c r="A11" s="134" t="s">
        <v>92</v>
      </c>
      <c r="B11" s="131"/>
      <c r="C11" s="131"/>
      <c r="D11" s="131"/>
      <c r="E11" s="131"/>
    </row>
    <row r="12" spans="1:5" ht="24.6" customHeight="1" x14ac:dyDescent="0.5">
      <c r="A12" s="135" t="s">
        <v>55</v>
      </c>
      <c r="B12" s="131"/>
      <c r="C12" s="131"/>
      <c r="D12" s="131"/>
      <c r="E12" s="131"/>
    </row>
    <row r="13" spans="1:5" ht="25.8" x14ac:dyDescent="0.5">
      <c r="A13" s="136" t="s">
        <v>60</v>
      </c>
      <c r="B13" s="131"/>
      <c r="C13" s="131"/>
      <c r="D13" s="131"/>
      <c r="E13" s="131"/>
    </row>
    <row r="14" spans="1:5" ht="25.8" x14ac:dyDescent="0.5">
      <c r="A14" s="137" t="s">
        <v>56</v>
      </c>
      <c r="B14" s="131"/>
      <c r="C14" s="131"/>
      <c r="D14" s="131"/>
      <c r="E14" s="131"/>
    </row>
    <row r="15" spans="1:5" ht="25.8" x14ac:dyDescent="0.5">
      <c r="A15" s="137" t="s">
        <v>57</v>
      </c>
      <c r="B15" s="131"/>
      <c r="C15" s="131"/>
      <c r="D15" s="131"/>
      <c r="E15" s="131"/>
    </row>
    <row r="16" spans="1:5" ht="24.6" customHeight="1" x14ac:dyDescent="0.5">
      <c r="A16" s="137" t="s">
        <v>59</v>
      </c>
      <c r="B16" s="131"/>
      <c r="C16" s="131"/>
      <c r="D16" s="131"/>
      <c r="E16" s="131"/>
    </row>
    <row r="17" spans="1:5" ht="24" customHeight="1" x14ac:dyDescent="0.5">
      <c r="A17" s="138" t="s">
        <v>90</v>
      </c>
      <c r="B17" s="131"/>
      <c r="C17" s="131"/>
      <c r="D17" s="131"/>
      <c r="E17" s="131"/>
    </row>
    <row r="18" spans="1:5" ht="25.8" customHeight="1" x14ac:dyDescent="0.5">
      <c r="A18" s="138" t="s">
        <v>91</v>
      </c>
      <c r="B18" s="131"/>
      <c r="C18" s="131"/>
      <c r="D18" s="131"/>
      <c r="E18" s="131"/>
    </row>
    <row r="19" spans="1:5" ht="24.6" customHeight="1" x14ac:dyDescent="0.5">
      <c r="A19" s="139" t="s">
        <v>58</v>
      </c>
      <c r="B19" s="131"/>
      <c r="C19" s="131"/>
      <c r="D19" s="131"/>
      <c r="E19" s="131"/>
    </row>
    <row r="20" spans="1:5" ht="23.4" customHeight="1" x14ac:dyDescent="0.45">
      <c r="A20" s="134" t="s">
        <v>62</v>
      </c>
      <c r="B20" s="131"/>
      <c r="C20" s="131"/>
      <c r="D20" s="131"/>
      <c r="E20" s="131"/>
    </row>
    <row r="21" spans="1:5" ht="19.8" customHeight="1" x14ac:dyDescent="0.3">
      <c r="A21" s="131" t="s">
        <v>169</v>
      </c>
      <c r="B21" s="131"/>
      <c r="C21" s="131"/>
      <c r="D21" s="131"/>
      <c r="E21" s="131"/>
    </row>
    <row r="22" spans="1:5" x14ac:dyDescent="0.3">
      <c r="A22" s="131"/>
      <c r="B22" s="131"/>
      <c r="C22" s="131"/>
      <c r="D22" s="131"/>
      <c r="E22" s="131"/>
    </row>
    <row r="23" spans="1:5" x14ac:dyDescent="0.3">
      <c r="A23" s="131"/>
      <c r="B23" s="131"/>
      <c r="C23" s="131"/>
      <c r="D23" s="131"/>
      <c r="E23" s="131"/>
    </row>
    <row r="24" spans="1:5" ht="13.2" customHeight="1" x14ac:dyDescent="0.3">
      <c r="A24" s="131"/>
      <c r="B24" s="131"/>
      <c r="C24" s="131"/>
      <c r="D24" s="131"/>
      <c r="E24" s="131"/>
    </row>
    <row r="25" spans="1:5" x14ac:dyDescent="0.3">
      <c r="A25" s="131"/>
      <c r="B25" s="131"/>
      <c r="C25" s="131"/>
      <c r="D25" s="131"/>
      <c r="E25" s="131"/>
    </row>
    <row r="26" spans="1:5" x14ac:dyDescent="0.3">
      <c r="A26" s="131"/>
      <c r="B26" s="131"/>
      <c r="C26" s="131"/>
      <c r="D26" s="131"/>
      <c r="E26" s="131"/>
    </row>
    <row r="27" spans="1:5" x14ac:dyDescent="0.3">
      <c r="A27" s="131"/>
      <c r="B27" s="131"/>
      <c r="C27" s="131"/>
      <c r="D27" s="131"/>
      <c r="E27" s="131"/>
    </row>
    <row r="28" spans="1:5" x14ac:dyDescent="0.3">
      <c r="A28" s="131"/>
      <c r="B28" s="131"/>
      <c r="C28" s="131"/>
      <c r="D28" s="131"/>
      <c r="E28" s="131"/>
    </row>
    <row r="29" spans="1:5" x14ac:dyDescent="0.3">
      <c r="A29" s="131"/>
      <c r="B29" s="131"/>
      <c r="C29" s="131"/>
      <c r="D29" s="131"/>
      <c r="E29" s="131"/>
    </row>
    <row r="30" spans="1:5" x14ac:dyDescent="0.3">
      <c r="A30" s="131"/>
      <c r="B30" s="131"/>
      <c r="C30" s="131"/>
      <c r="D30" s="131"/>
      <c r="E30" s="131"/>
    </row>
  </sheetData>
  <sheetProtection algorithmName="SHA-512" hashValue="z4+RGWRn7SGS1OaL5n0avhjFhGG8pevWRo4ZNt7wLwNcrb4+DsonWBSS3W47ozPVTANYY1RyxOcKGnSrmdDCCA==" saltValue="UGVVvHhzov/t69vZ2c6T2Q==" spinCount="100000" sheet="1" objects="1" scenarios="1"/>
  <hyperlinks>
    <hyperlink ref="A13" r:id="rId1" display="Bitmex fees explained:" xr:uid="{BB6691A8-B0D5-4CC7-AA2A-06FC85E7C9CC}"/>
    <hyperlink ref="A14" r:id="rId2" xr:uid="{7C5C66D4-B800-43C3-8506-9D45C88A5B62}"/>
    <hyperlink ref="A15" r:id="rId3" xr:uid="{E47DEB6B-B7DF-412E-B582-07BE2B0E9287}"/>
    <hyperlink ref="A16" r:id="rId4" xr:uid="{5CF4994D-C1F4-43A4-8D1E-114C98FD4DE0}"/>
    <hyperlink ref="A17" r:id="rId5" xr:uid="{C75083DA-FDD7-4EB0-93E4-482826F0A1DE}"/>
    <hyperlink ref="A18" r:id="rId6" display="Bitmex trainings and Webinars" xr:uid="{2DE1ADC2-8B9C-4167-A1F5-4FA1509EE45A}"/>
    <hyperlink ref="A11" r:id="rId7" xr:uid="{A0D704E4-CD0F-4611-A60A-11743E6F0292}"/>
    <hyperlink ref="A20" r:id="rId8" xr:uid="{3B5B8CC4-B248-4A5F-BCEF-CFF8A5AE6506}"/>
  </hyperlinks>
  <pageMargins left="0.7" right="0.7" top="0.75" bottom="0.75" header="0.3" footer="0.3"/>
  <pageSetup paperSize="9" orientation="portrait" horizontalDpi="0" verticalDpi="0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C1CCA-56A0-49F9-B925-94059EFA6962}">
  <dimension ref="A1:M34"/>
  <sheetViews>
    <sheetView zoomScale="50" zoomScaleNormal="50" workbookViewId="0">
      <selection activeCell="C13" sqref="C13"/>
    </sheetView>
  </sheetViews>
  <sheetFormatPr defaultRowHeight="14.4" x14ac:dyDescent="0.3"/>
  <cols>
    <col min="1" max="1" width="62.33203125" style="70" customWidth="1"/>
    <col min="2" max="2" width="30.6640625" style="70" customWidth="1"/>
    <col min="3" max="3" width="31.21875" style="70" customWidth="1"/>
    <col min="4" max="4" width="30.21875" style="70" customWidth="1"/>
    <col min="5" max="5" width="29.44140625" style="70" customWidth="1"/>
    <col min="6" max="6" width="143.88671875" style="70" customWidth="1"/>
    <col min="7" max="7" width="22.21875" style="70" customWidth="1"/>
    <col min="8" max="8" width="21.21875" style="70" customWidth="1"/>
    <col min="9" max="16384" width="8.88671875" style="70"/>
  </cols>
  <sheetData>
    <row r="1" spans="1:13" ht="77.400000000000006" customHeight="1" thickTop="1" thickBot="1" x14ac:dyDescent="0.55000000000000004">
      <c r="A1" s="65"/>
      <c r="B1" s="140" t="s">
        <v>23</v>
      </c>
      <c r="C1" s="140" t="s">
        <v>24</v>
      </c>
      <c r="D1" s="140" t="s">
        <v>25</v>
      </c>
      <c r="E1" s="141" t="s">
        <v>26</v>
      </c>
      <c r="F1" s="69" t="s">
        <v>119</v>
      </c>
      <c r="G1" s="142"/>
      <c r="H1" s="143"/>
    </row>
    <row r="2" spans="1:13" ht="25.2" customHeight="1" thickTop="1" thickBot="1" x14ac:dyDescent="0.5">
      <c r="A2" s="144" t="s">
        <v>121</v>
      </c>
      <c r="B2" s="72" t="s">
        <v>111</v>
      </c>
      <c r="C2" s="73" t="s">
        <v>112</v>
      </c>
      <c r="D2" s="74" t="s">
        <v>113</v>
      </c>
      <c r="E2" s="145" t="s">
        <v>114</v>
      </c>
      <c r="F2" s="146" t="s">
        <v>76</v>
      </c>
    </row>
    <row r="3" spans="1:13" ht="25.2" customHeight="1" thickTop="1" thickBot="1" x14ac:dyDescent="0.5">
      <c r="A3" s="147" t="s">
        <v>63</v>
      </c>
      <c r="B3" s="190">
        <v>6600</v>
      </c>
      <c r="C3" s="190">
        <v>6400</v>
      </c>
      <c r="D3" s="190">
        <v>6400</v>
      </c>
      <c r="E3" s="191">
        <v>6400</v>
      </c>
      <c r="F3" s="78" t="s">
        <v>148</v>
      </c>
    </row>
    <row r="4" spans="1:13" ht="27.6" customHeight="1" thickTop="1" thickBot="1" x14ac:dyDescent="0.5">
      <c r="A4" s="148" t="s">
        <v>64</v>
      </c>
      <c r="B4" s="192">
        <v>6600</v>
      </c>
      <c r="C4" s="192">
        <v>6600</v>
      </c>
      <c r="D4" s="192">
        <v>6600</v>
      </c>
      <c r="E4" s="193">
        <v>6600</v>
      </c>
      <c r="F4" s="149"/>
    </row>
    <row r="5" spans="1:13" ht="24" customHeight="1" thickTop="1" thickBot="1" x14ac:dyDescent="0.5">
      <c r="A5" s="148" t="s">
        <v>117</v>
      </c>
      <c r="B5" s="51">
        <v>1000</v>
      </c>
      <c r="C5" s="51">
        <v>1000</v>
      </c>
      <c r="D5" s="51">
        <v>1000</v>
      </c>
      <c r="E5" s="52">
        <v>1000</v>
      </c>
      <c r="F5" s="149" t="s">
        <v>77</v>
      </c>
    </row>
    <row r="6" spans="1:13" ht="24.6" thickTop="1" thickBot="1" x14ac:dyDescent="0.5">
      <c r="A6" s="79" t="s">
        <v>118</v>
      </c>
      <c r="B6" s="23">
        <v>20</v>
      </c>
      <c r="C6" s="23">
        <v>20</v>
      </c>
      <c r="D6" s="23">
        <v>20</v>
      </c>
      <c r="E6" s="43">
        <v>20</v>
      </c>
      <c r="F6" s="149" t="s">
        <v>120</v>
      </c>
    </row>
    <row r="7" spans="1:13" ht="24" thickTop="1" x14ac:dyDescent="0.45">
      <c r="A7" s="150" t="s">
        <v>105</v>
      </c>
      <c r="B7" s="34">
        <f>(B8/B6)</f>
        <v>1.7370000000000001</v>
      </c>
      <c r="C7" s="34">
        <f t="shared" ref="C7:E7" si="0">(C8/C6)+(C8/C6)*0.25</f>
        <v>2.0831249999999999</v>
      </c>
      <c r="D7" s="34">
        <f t="shared" si="0"/>
        <v>2.09375</v>
      </c>
      <c r="E7" s="34">
        <f t="shared" si="0"/>
        <v>2.0831249999999999</v>
      </c>
      <c r="F7" s="149" t="s">
        <v>44</v>
      </c>
    </row>
    <row r="8" spans="1:13" ht="23.4" x14ac:dyDescent="0.45">
      <c r="A8" s="82" t="s">
        <v>4</v>
      </c>
      <c r="B8" s="28">
        <f>B10*B5</f>
        <v>34.74</v>
      </c>
      <c r="C8" s="28">
        <f t="shared" ref="C8:E8" si="1">C10*C5</f>
        <v>33.33</v>
      </c>
      <c r="D8" s="3">
        <f t="shared" si="1"/>
        <v>33.5</v>
      </c>
      <c r="E8" s="13">
        <f t="shared" si="1"/>
        <v>33.33</v>
      </c>
      <c r="F8" s="149" t="s">
        <v>46</v>
      </c>
      <c r="H8" s="151"/>
    </row>
    <row r="9" spans="1:13" ht="24" thickBot="1" x14ac:dyDescent="0.5">
      <c r="A9" s="152" t="s">
        <v>108</v>
      </c>
      <c r="B9" s="38">
        <f>B7*B3</f>
        <v>11464.2</v>
      </c>
      <c r="C9" s="35">
        <f>C7*C3</f>
        <v>13332</v>
      </c>
      <c r="D9" s="32">
        <f t="shared" ref="D9:E9" si="2">D7*D3</f>
        <v>13400</v>
      </c>
      <c r="E9" s="45">
        <f t="shared" si="2"/>
        <v>13332</v>
      </c>
      <c r="F9" s="149" t="s">
        <v>70</v>
      </c>
    </row>
    <row r="10" spans="1:13" ht="24.6" thickTop="1" thickBot="1" x14ac:dyDescent="0.5">
      <c r="A10" s="84" t="s">
        <v>115</v>
      </c>
      <c r="B10" s="53">
        <v>3.474E-2</v>
      </c>
      <c r="C10" s="53">
        <v>3.3329999999999999E-2</v>
      </c>
      <c r="D10" s="53">
        <v>3.3500000000000002E-2</v>
      </c>
      <c r="E10" s="54">
        <v>3.3329999999999999E-2</v>
      </c>
      <c r="F10" s="149" t="s">
        <v>71</v>
      </c>
    </row>
    <row r="11" spans="1:13" ht="24.6" thickTop="1" thickBot="1" x14ac:dyDescent="0.5">
      <c r="A11" s="85" t="s">
        <v>116</v>
      </c>
      <c r="B11" s="55">
        <v>3.6999999999999998E-2</v>
      </c>
      <c r="C11" s="55">
        <v>3.2500000000000001E-2</v>
      </c>
      <c r="D11" s="55">
        <v>3.3009999999999998E-2</v>
      </c>
      <c r="E11" s="54">
        <v>3.4160000000000003E-2</v>
      </c>
      <c r="F11" s="149" t="s">
        <v>72</v>
      </c>
    </row>
    <row r="12" spans="1:13" ht="24" thickTop="1" x14ac:dyDescent="0.45">
      <c r="A12" s="86" t="s">
        <v>97</v>
      </c>
      <c r="B12" s="7">
        <f>(B11-B10)/B10</f>
        <v>6.5054691997697131E-2</v>
      </c>
      <c r="C12" s="31">
        <f t="shared" ref="C12:E12" si="3">(C11-C10)/C10</f>
        <v>-2.4902490249024824E-2</v>
      </c>
      <c r="D12" s="7">
        <f t="shared" si="3"/>
        <v>-1.4626865671641918E-2</v>
      </c>
      <c r="E12" s="47">
        <f t="shared" si="3"/>
        <v>2.4902490249025033E-2</v>
      </c>
      <c r="F12" s="149" t="s">
        <v>73</v>
      </c>
    </row>
    <row r="13" spans="1:13" ht="23.4" x14ac:dyDescent="0.45">
      <c r="A13" s="82" t="s">
        <v>99</v>
      </c>
      <c r="B13" s="4">
        <f>(B11-B10)*B5</f>
        <v>2.259999999999998</v>
      </c>
      <c r="C13" s="4">
        <f t="shared" ref="C13" si="4">(C11-C10)*C5</f>
        <v>-0.82999999999999741</v>
      </c>
      <c r="D13" s="4">
        <f>(D10-D11)*D5</f>
        <v>0.49000000000000432</v>
      </c>
      <c r="E13" s="14">
        <f>(E10-E11)*E5</f>
        <v>-0.83000000000000429</v>
      </c>
      <c r="F13" s="149" t="s">
        <v>78</v>
      </c>
      <c r="M13" s="153"/>
    </row>
    <row r="14" spans="1:13" ht="23.4" x14ac:dyDescent="0.45">
      <c r="A14" s="87" t="s">
        <v>100</v>
      </c>
      <c r="B14" s="8">
        <f>B13*B4</f>
        <v>14915.999999999987</v>
      </c>
      <c r="C14" s="8">
        <f t="shared" ref="C14:E14" si="5">C13*C4</f>
        <v>-5477.9999999999827</v>
      </c>
      <c r="D14" s="8">
        <f t="shared" si="5"/>
        <v>3234.0000000000286</v>
      </c>
      <c r="E14" s="19">
        <f t="shared" si="5"/>
        <v>-5478.0000000000282</v>
      </c>
      <c r="F14" s="149"/>
    </row>
    <row r="15" spans="1:13" ht="24" thickBot="1" x14ac:dyDescent="0.5">
      <c r="A15" s="83" t="s">
        <v>101</v>
      </c>
      <c r="B15" s="5">
        <f>((B7)*(B4-B3))</f>
        <v>0</v>
      </c>
      <c r="C15" s="5">
        <f>(C7+C13)*(C4-C3)</f>
        <v>250.62500000000051</v>
      </c>
      <c r="D15" s="5">
        <f>D7*(D4-D3)</f>
        <v>418.75</v>
      </c>
      <c r="E15" s="15">
        <f>(E7+E13)*(E4-E3)</f>
        <v>250.62499999999912</v>
      </c>
      <c r="F15" s="90"/>
    </row>
    <row r="16" spans="1:13" ht="27" thickTop="1" thickBot="1" x14ac:dyDescent="0.5">
      <c r="A16" s="154" t="s">
        <v>30</v>
      </c>
      <c r="B16" s="30">
        <f>B15+B14</f>
        <v>14915.999999999987</v>
      </c>
      <c r="C16" s="30">
        <f>C15+C14</f>
        <v>-5227.3749999999818</v>
      </c>
      <c r="D16" s="30">
        <f t="shared" ref="D16:E16" si="6">D15+D14</f>
        <v>3652.7500000000286</v>
      </c>
      <c r="E16" s="48">
        <f t="shared" si="6"/>
        <v>-5227.3750000000291</v>
      </c>
      <c r="F16" s="90" t="s">
        <v>126</v>
      </c>
    </row>
    <row r="17" spans="1:8" ht="25.8" customHeight="1" thickTop="1" x14ac:dyDescent="0.45">
      <c r="A17" s="155" t="s">
        <v>11</v>
      </c>
      <c r="B17" s="7">
        <f>(B18-B9)/B9</f>
        <v>1.3010938399539425</v>
      </c>
      <c r="C17" s="7">
        <f>(C18-C9)/C9</f>
        <v>-0.39209233423342199</v>
      </c>
      <c r="D17" s="7">
        <f t="shared" ref="D17:E17" si="7">(D18-D9)/D9</f>
        <v>0.27259328358209173</v>
      </c>
      <c r="E17" s="49">
        <f t="shared" si="7"/>
        <v>-0.39209233423342554</v>
      </c>
      <c r="F17" s="149" t="s">
        <v>43</v>
      </c>
    </row>
    <row r="18" spans="1:8" ht="26.4" customHeight="1" x14ac:dyDescent="0.3">
      <c r="A18" s="91" t="s">
        <v>13</v>
      </c>
      <c r="B18" s="8">
        <f>B16+B9</f>
        <v>26380.19999999999</v>
      </c>
      <c r="C18" s="8">
        <f>C16+C9</f>
        <v>8104.6250000000182</v>
      </c>
      <c r="D18" s="8">
        <f t="shared" ref="D18:E18" si="8">D16+D9</f>
        <v>17052.750000000029</v>
      </c>
      <c r="E18" s="19">
        <f t="shared" si="8"/>
        <v>8104.6249999999709</v>
      </c>
      <c r="F18" s="110"/>
    </row>
    <row r="19" spans="1:8" ht="28.2" customHeight="1" thickBot="1" x14ac:dyDescent="0.35">
      <c r="A19" s="156" t="s">
        <v>14</v>
      </c>
      <c r="B19" s="29">
        <f>B7+B13</f>
        <v>3.9969999999999981</v>
      </c>
      <c r="C19" s="29">
        <f>C7+C13</f>
        <v>1.2531250000000025</v>
      </c>
      <c r="D19" s="29">
        <f t="shared" ref="D19:E19" si="9">D7+D13</f>
        <v>2.5837500000000042</v>
      </c>
      <c r="E19" s="40">
        <f t="shared" si="9"/>
        <v>1.2531249999999956</v>
      </c>
      <c r="F19" s="110"/>
    </row>
    <row r="20" spans="1:8" ht="24.6" thickTop="1" thickBot="1" x14ac:dyDescent="0.5">
      <c r="A20" s="157" t="s">
        <v>12</v>
      </c>
      <c r="B20" s="56">
        <f>B10-(B10/B6)+B10*0.025</f>
        <v>3.3871499999999999E-2</v>
      </c>
      <c r="C20" s="56">
        <f>C10-(C10/C6)+C10*0.025</f>
        <v>3.2496749999999998E-2</v>
      </c>
      <c r="D20" s="56">
        <f t="shared" ref="D20:E20" si="10">D10+(D10/D6)-D10*0.025</f>
        <v>3.4337500000000007E-2</v>
      </c>
      <c r="E20" s="56">
        <f t="shared" si="10"/>
        <v>3.4163249999999999E-2</v>
      </c>
      <c r="F20" s="78" t="s">
        <v>41</v>
      </c>
    </row>
    <row r="21" spans="1:8" ht="29.4" thickTop="1" x14ac:dyDescent="0.3">
      <c r="A21" s="158" t="s">
        <v>22</v>
      </c>
      <c r="B21" s="159">
        <f>(B10*B5*0.0005)*B3+(B11*B5*0.0005)*B4</f>
        <v>236.74199999999999</v>
      </c>
      <c r="C21" s="159">
        <f t="shared" ref="C21:E21" si="11">(C10*C5*0.0005)*C3+(C11*C5*0.0005)*C4</f>
        <v>213.90600000000001</v>
      </c>
      <c r="D21" s="159">
        <f t="shared" si="11"/>
        <v>216.13299999999998</v>
      </c>
      <c r="E21" s="160">
        <f t="shared" si="11"/>
        <v>219.38400000000001</v>
      </c>
      <c r="F21" s="161" t="s">
        <v>84</v>
      </c>
    </row>
    <row r="22" spans="1:8" ht="28.8" x14ac:dyDescent="0.3">
      <c r="A22" s="99" t="s">
        <v>27</v>
      </c>
      <c r="B22" s="162">
        <f>(B10*B5*0.0005)*B3+B11*B5*0.0025*(-1)*B4</f>
        <v>-495.858</v>
      </c>
      <c r="C22" s="162">
        <f t="shared" ref="C22:E22" si="12">(C10*C5*0.0005)*C3+C11*C5*0.0025*(-1)*C4</f>
        <v>-429.59399999999999</v>
      </c>
      <c r="D22" s="162">
        <f t="shared" si="12"/>
        <v>-437.46499999999997</v>
      </c>
      <c r="E22" s="163">
        <f t="shared" si="12"/>
        <v>-456.98400000000009</v>
      </c>
      <c r="F22" s="161" t="s">
        <v>38</v>
      </c>
    </row>
    <row r="23" spans="1:8" ht="28.8" x14ac:dyDescent="0.3">
      <c r="A23" s="99" t="s">
        <v>32</v>
      </c>
      <c r="B23" s="162">
        <f>(B10*B5*0.0005)*B3+B11*B5*0.00225*(-1)*B4</f>
        <v>-434.80799999999994</v>
      </c>
      <c r="C23" s="162">
        <f t="shared" ref="C23:E23" si="13">(C10*C5*0.0005)*C3+C11*C5*0.00225*(-1)*C4</f>
        <v>-375.96899999999994</v>
      </c>
      <c r="D23" s="162">
        <f t="shared" si="13"/>
        <v>-382.99849999999998</v>
      </c>
      <c r="E23" s="163">
        <f t="shared" si="13"/>
        <v>-400.62</v>
      </c>
      <c r="F23" s="161" t="s">
        <v>85</v>
      </c>
    </row>
    <row r="24" spans="1:8" ht="28.8" x14ac:dyDescent="0.45">
      <c r="A24" s="99" t="s">
        <v>28</v>
      </c>
      <c r="B24" s="162">
        <f>(B10*B5*0.0025)*B3*(-1)+B11*B5*0.0005*B4</f>
        <v>-451.11</v>
      </c>
      <c r="C24" s="162">
        <f>(C10*C5*0.0025)*C3*(-1)+C11*C5*0.0005*C4</f>
        <v>-426.03</v>
      </c>
      <c r="D24" s="162">
        <f>(D10*D5*0.0025)*D3*(-1)+D11*D5*0.0005*D4</f>
        <v>-427.06700000000001</v>
      </c>
      <c r="E24" s="163">
        <f>(E10*E5*0.0025)*E3*(-1)+E11*E5*0.0005*E4</f>
        <v>-420.55199999999996</v>
      </c>
      <c r="F24" s="164" t="s">
        <v>40</v>
      </c>
    </row>
    <row r="25" spans="1:8" ht="28.8" x14ac:dyDescent="0.45">
      <c r="A25" s="99" t="s">
        <v>33</v>
      </c>
      <c r="B25" s="162">
        <f>(B10*B5*0.00225)*B3*(-1)+B11*B5*0.0005*B4</f>
        <v>-393.78899999999999</v>
      </c>
      <c r="C25" s="162">
        <f t="shared" ref="C25:E25" si="14">(C10*C5*0.00225)*C3*(-1)+C11*C5*0.0005*C4</f>
        <v>-372.70199999999994</v>
      </c>
      <c r="D25" s="162">
        <f t="shared" si="14"/>
        <v>-373.46699999999998</v>
      </c>
      <c r="E25" s="163">
        <f t="shared" si="14"/>
        <v>-367.22399999999993</v>
      </c>
      <c r="F25" s="164" t="s">
        <v>54</v>
      </c>
    </row>
    <row r="26" spans="1:8" ht="28.8" x14ac:dyDescent="0.45">
      <c r="A26" s="99" t="s">
        <v>29</v>
      </c>
      <c r="B26" s="162">
        <f>(B10*B5*0.0025)*B3*(-1)+B11*B5*0.0025*B4*(-1)</f>
        <v>-1183.71</v>
      </c>
      <c r="C26" s="162">
        <f t="shared" ref="C26:E26" si="15">(C10*C5*0.0025)*C3*(-1)+C11*C5*0.0025*C4*(-1)</f>
        <v>-1069.53</v>
      </c>
      <c r="D26" s="162">
        <f t="shared" si="15"/>
        <v>-1080.665</v>
      </c>
      <c r="E26" s="163">
        <f t="shared" si="15"/>
        <v>-1096.92</v>
      </c>
      <c r="F26" s="165"/>
    </row>
    <row r="27" spans="1:8" ht="29.4" thickBot="1" x14ac:dyDescent="0.5">
      <c r="A27" s="166" t="s">
        <v>34</v>
      </c>
      <c r="B27" s="167">
        <f>(B10*B5*0.00225)*B3*(-1)+B11*B5*0.00225*B4*(-1)</f>
        <v>-1065.3389999999999</v>
      </c>
      <c r="C27" s="167">
        <f t="shared" ref="C27:E27" si="16">(C10*C5*0.00225)*C3*(-1)+C11*C5*0.00225*C4*(-1)</f>
        <v>-962.57699999999988</v>
      </c>
      <c r="D27" s="167">
        <f t="shared" si="16"/>
        <v>-972.59849999999994</v>
      </c>
      <c r="E27" s="168">
        <f t="shared" si="16"/>
        <v>-987.22799999999995</v>
      </c>
      <c r="F27" s="165"/>
    </row>
    <row r="28" spans="1:8" ht="26.4" thickTop="1" x14ac:dyDescent="0.45">
      <c r="A28" s="169" t="s">
        <v>31</v>
      </c>
      <c r="B28" s="41">
        <f>B16+B21</f>
        <v>15152.741999999987</v>
      </c>
      <c r="C28" s="42">
        <f>C16+C21</f>
        <v>-5013.4689999999819</v>
      </c>
      <c r="D28" s="41">
        <f>D16+D21</f>
        <v>3868.8830000000285</v>
      </c>
      <c r="E28" s="50">
        <f>E16+E21</f>
        <v>-5007.9910000000291</v>
      </c>
      <c r="F28" s="149" t="s">
        <v>86</v>
      </c>
    </row>
    <row r="29" spans="1:8" ht="25.8" x14ac:dyDescent="0.45">
      <c r="A29" s="170" t="s">
        <v>35</v>
      </c>
      <c r="B29" s="171">
        <f>B16+B23</f>
        <v>14481.191999999988</v>
      </c>
      <c r="C29" s="114">
        <f>C16+C23</f>
        <v>-5603.3439999999819</v>
      </c>
      <c r="D29" s="171">
        <f>D16+D23</f>
        <v>3269.7515000000285</v>
      </c>
      <c r="E29" s="172">
        <f>E16+E23</f>
        <v>-5627.995000000029</v>
      </c>
      <c r="F29" s="173"/>
    </row>
    <row r="30" spans="1:8" ht="25.8" x14ac:dyDescent="0.3">
      <c r="A30" s="170" t="s">
        <v>36</v>
      </c>
      <c r="B30" s="171">
        <f>B16+B25</f>
        <v>14522.210999999987</v>
      </c>
      <c r="C30" s="114">
        <f>C16+C25</f>
        <v>-5600.076999999982</v>
      </c>
      <c r="D30" s="171">
        <f>D16+D25</f>
        <v>3279.2830000000286</v>
      </c>
      <c r="E30" s="172">
        <f>E16+E25</f>
        <v>-5594.5990000000293</v>
      </c>
      <c r="F30" s="116" t="s">
        <v>15</v>
      </c>
    </row>
    <row r="31" spans="1:8" ht="26.4" thickBot="1" x14ac:dyDescent="0.35">
      <c r="A31" s="174" t="s">
        <v>37</v>
      </c>
      <c r="B31" s="175">
        <f>B16+B27</f>
        <v>13850.660999999987</v>
      </c>
      <c r="C31" s="176">
        <f>C16+C27</f>
        <v>-6189.951999999982</v>
      </c>
      <c r="D31" s="175">
        <f>D16+D27</f>
        <v>2680.1515000000286</v>
      </c>
      <c r="E31" s="177">
        <f>E16+E27</f>
        <v>-6214.6030000000292</v>
      </c>
      <c r="F31" s="178" t="s">
        <v>75</v>
      </c>
    </row>
    <row r="32" spans="1:8" ht="27" thickTop="1" thickBot="1" x14ac:dyDescent="0.55000000000000004">
      <c r="A32" s="121" t="s">
        <v>16</v>
      </c>
      <c r="B32" s="122" t="s">
        <v>17</v>
      </c>
      <c r="C32" s="121" t="s">
        <v>18</v>
      </c>
      <c r="D32" s="123" t="s">
        <v>19</v>
      </c>
      <c r="E32" s="124"/>
      <c r="F32" s="125" t="s">
        <v>168</v>
      </c>
      <c r="H32" s="65"/>
    </row>
    <row r="33" spans="1:7" ht="30" thickTop="1" thickBot="1" x14ac:dyDescent="0.55000000000000004">
      <c r="A33" s="126" t="s">
        <v>20</v>
      </c>
      <c r="B33" s="127" t="s">
        <v>125</v>
      </c>
      <c r="C33" s="128"/>
      <c r="D33" s="128"/>
      <c r="E33" s="129"/>
      <c r="F33" s="130" t="s">
        <v>87</v>
      </c>
    </row>
    <row r="34" spans="1:7" ht="28.8" customHeight="1" thickTop="1" x14ac:dyDescent="0.5">
      <c r="A34" s="179"/>
      <c r="B34" s="180"/>
      <c r="C34" s="181"/>
      <c r="D34" s="181"/>
      <c r="E34" s="182"/>
      <c r="G34" s="183"/>
    </row>
  </sheetData>
  <sheetProtection algorithmName="SHA-512" hashValue="ICqxYubXLVwhXL4JS2ddWsev1PiwzyLNciNXgoYVH5uXGGtGLvPzVD9BFoNCUXFGaqJnL9ppCMA479s+WxGF1A==" saltValue="UaF+b+OxJXUVVZ2ptukYdw==" spinCount="100000" sheet="1" objects="1" scenarios="1"/>
  <hyperlinks>
    <hyperlink ref="D32:E32" r:id="rId1" display="Created by MinistryOfMarginTrading" xr:uid="{6F464420-5EC2-475C-9194-BE296BC3FB4E}"/>
    <hyperlink ref="D32" r:id="rId2" xr:uid="{741C7C4C-E69C-4D25-96F7-BF4A0007000B}"/>
    <hyperlink ref="F33" r:id="rId3" xr:uid="{FFBE33DE-78D8-4757-BCB5-CB3DD4367DD8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7AD53-D9A6-41E9-B3E0-357EDF8DB2CB}">
  <dimension ref="A1:M34"/>
  <sheetViews>
    <sheetView tabSelected="1" zoomScale="50" zoomScaleNormal="50" workbookViewId="0">
      <selection activeCell="F19" sqref="F19"/>
    </sheetView>
  </sheetViews>
  <sheetFormatPr defaultRowHeight="14.4" x14ac:dyDescent="0.3"/>
  <cols>
    <col min="1" max="1" width="62.33203125" style="70" customWidth="1"/>
    <col min="2" max="2" width="30.6640625" style="70" customWidth="1"/>
    <col min="3" max="3" width="31.21875" style="70" customWidth="1"/>
    <col min="4" max="4" width="30.21875" style="70" customWidth="1"/>
    <col min="5" max="5" width="29.44140625" style="70" customWidth="1"/>
    <col min="6" max="6" width="143.88671875" style="70" customWidth="1"/>
    <col min="7" max="7" width="22.21875" style="70" customWidth="1"/>
    <col min="8" max="8" width="21.21875" style="70" customWidth="1"/>
    <col min="9" max="16384" width="8.88671875" style="70"/>
  </cols>
  <sheetData>
    <row r="1" spans="1:13" ht="77.400000000000006" customHeight="1" thickTop="1" thickBot="1" x14ac:dyDescent="0.55000000000000004">
      <c r="A1" s="65"/>
      <c r="B1" s="140" t="s">
        <v>23</v>
      </c>
      <c r="C1" s="140" t="s">
        <v>24</v>
      </c>
      <c r="D1" s="140" t="s">
        <v>25</v>
      </c>
      <c r="E1" s="141" t="s">
        <v>26</v>
      </c>
      <c r="F1" s="69" t="s">
        <v>123</v>
      </c>
      <c r="G1" s="142"/>
      <c r="H1" s="143"/>
    </row>
    <row r="2" spans="1:13" ht="25.2" customHeight="1" thickTop="1" thickBot="1" x14ac:dyDescent="0.5">
      <c r="A2" s="144" t="s">
        <v>121</v>
      </c>
      <c r="B2" s="72" t="s">
        <v>80</v>
      </c>
      <c r="C2" s="73" t="s">
        <v>81</v>
      </c>
      <c r="D2" s="74" t="s">
        <v>82</v>
      </c>
      <c r="E2" s="145" t="s">
        <v>83</v>
      </c>
      <c r="F2" s="146" t="s">
        <v>76</v>
      </c>
    </row>
    <row r="3" spans="1:13" ht="25.2" customHeight="1" thickTop="1" thickBot="1" x14ac:dyDescent="0.5">
      <c r="A3" s="147" t="s">
        <v>63</v>
      </c>
      <c r="B3" s="190">
        <v>6600</v>
      </c>
      <c r="C3" s="190">
        <v>6400</v>
      </c>
      <c r="D3" s="190">
        <v>6400</v>
      </c>
      <c r="E3" s="191">
        <v>6400</v>
      </c>
      <c r="F3" s="78" t="s">
        <v>148</v>
      </c>
    </row>
    <row r="4" spans="1:13" ht="27.6" customHeight="1" thickTop="1" thickBot="1" x14ac:dyDescent="0.5">
      <c r="A4" s="148" t="s">
        <v>64</v>
      </c>
      <c r="B4" s="192">
        <v>6600</v>
      </c>
      <c r="C4" s="192">
        <v>6600</v>
      </c>
      <c r="D4" s="192">
        <v>6600</v>
      </c>
      <c r="E4" s="193">
        <v>6600</v>
      </c>
      <c r="F4" s="149"/>
    </row>
    <row r="5" spans="1:13" ht="24" customHeight="1" thickTop="1" thickBot="1" x14ac:dyDescent="0.5">
      <c r="A5" s="148" t="s">
        <v>98</v>
      </c>
      <c r="B5" s="51">
        <v>10000</v>
      </c>
      <c r="C5" s="51">
        <v>100000</v>
      </c>
      <c r="D5" s="51">
        <v>100000</v>
      </c>
      <c r="E5" s="52">
        <v>100000</v>
      </c>
      <c r="F5" s="149" t="s">
        <v>77</v>
      </c>
    </row>
    <row r="6" spans="1:13" ht="24.6" thickTop="1" thickBot="1" x14ac:dyDescent="0.5">
      <c r="A6" s="79" t="s">
        <v>65</v>
      </c>
      <c r="B6" s="23">
        <v>20</v>
      </c>
      <c r="C6" s="23">
        <v>10</v>
      </c>
      <c r="D6" s="23">
        <v>20</v>
      </c>
      <c r="E6" s="43">
        <v>20</v>
      </c>
      <c r="F6" s="149" t="s">
        <v>79</v>
      </c>
    </row>
    <row r="7" spans="1:13" ht="24" thickTop="1" x14ac:dyDescent="0.45">
      <c r="A7" s="150" t="s">
        <v>105</v>
      </c>
      <c r="B7" s="34">
        <f>(B10*B5)/B6</f>
        <v>3.7394999999999998E-2</v>
      </c>
      <c r="C7" s="34">
        <f t="shared" ref="C7:E7" si="0">(C10*C5)/C6</f>
        <v>0.42420000000000002</v>
      </c>
      <c r="D7" s="33">
        <f t="shared" si="0"/>
        <v>0.66165000000000007</v>
      </c>
      <c r="E7" s="44">
        <f t="shared" si="0"/>
        <v>0.66165000000000007</v>
      </c>
      <c r="F7" s="149" t="s">
        <v>44</v>
      </c>
    </row>
    <row r="8" spans="1:13" ht="23.4" x14ac:dyDescent="0.45">
      <c r="A8" s="82" t="s">
        <v>4</v>
      </c>
      <c r="B8" s="28">
        <f>B10*B5</f>
        <v>0.7478999999999999</v>
      </c>
      <c r="C8" s="28">
        <f t="shared" ref="C8:E8" si="1">C10*C5</f>
        <v>4.242</v>
      </c>
      <c r="D8" s="3">
        <f t="shared" si="1"/>
        <v>13.233000000000001</v>
      </c>
      <c r="E8" s="13">
        <f t="shared" si="1"/>
        <v>13.233000000000001</v>
      </c>
      <c r="F8" s="149" t="s">
        <v>46</v>
      </c>
      <c r="H8" s="151"/>
    </row>
    <row r="9" spans="1:13" ht="24" thickBot="1" x14ac:dyDescent="0.5">
      <c r="A9" s="152" t="s">
        <v>108</v>
      </c>
      <c r="B9" s="38">
        <f>B7*B3</f>
        <v>246.80699999999999</v>
      </c>
      <c r="C9" s="35">
        <f t="shared" ref="C9:E9" si="2">C7*C3</f>
        <v>2714.88</v>
      </c>
      <c r="D9" s="32">
        <f t="shared" si="2"/>
        <v>4234.5600000000004</v>
      </c>
      <c r="E9" s="45">
        <f t="shared" si="2"/>
        <v>4234.5600000000004</v>
      </c>
      <c r="F9" s="149" t="s">
        <v>70</v>
      </c>
    </row>
    <row r="10" spans="1:13" ht="24.6" thickTop="1" thickBot="1" x14ac:dyDescent="0.5">
      <c r="A10" s="84" t="s">
        <v>67</v>
      </c>
      <c r="B10" s="25">
        <v>7.4789999999999994E-5</v>
      </c>
      <c r="C10" s="25">
        <v>4.2419999999999997E-5</v>
      </c>
      <c r="D10" s="25">
        <v>1.3233E-4</v>
      </c>
      <c r="E10" s="46">
        <v>1.3233E-4</v>
      </c>
      <c r="F10" s="149" t="s">
        <v>71</v>
      </c>
    </row>
    <row r="11" spans="1:13" ht="24.6" thickTop="1" thickBot="1" x14ac:dyDescent="0.5">
      <c r="A11" s="85" t="s">
        <v>68</v>
      </c>
      <c r="B11" s="26">
        <v>7.4999999999999993E-5</v>
      </c>
      <c r="C11" s="26">
        <v>4.0000000000000003E-5</v>
      </c>
      <c r="D11" s="26">
        <v>6.6660000000000002E-5</v>
      </c>
      <c r="E11" s="46">
        <v>1.3564E-4</v>
      </c>
      <c r="F11" s="149" t="s">
        <v>72</v>
      </c>
    </row>
    <row r="12" spans="1:13" ht="24" thickTop="1" x14ac:dyDescent="0.45">
      <c r="A12" s="86" t="s">
        <v>139</v>
      </c>
      <c r="B12" s="7">
        <f>(B11-B10)/B10</f>
        <v>2.807862013638183E-3</v>
      </c>
      <c r="C12" s="31">
        <f t="shared" ref="C12:E12" si="3">(C11-C10)/C10</f>
        <v>-5.7048561999056904E-2</v>
      </c>
      <c r="D12" s="7">
        <f t="shared" si="3"/>
        <v>-0.49625935162094764</v>
      </c>
      <c r="E12" s="47">
        <f t="shared" si="3"/>
        <v>2.5013224514471348E-2</v>
      </c>
      <c r="F12" s="149" t="s">
        <v>73</v>
      </c>
    </row>
    <row r="13" spans="1:13" ht="23.4" x14ac:dyDescent="0.45">
      <c r="A13" s="82" t="s">
        <v>99</v>
      </c>
      <c r="B13" s="4">
        <f>(B11-B10)*B5</f>
        <v>2.0999999999999968E-3</v>
      </c>
      <c r="C13" s="4">
        <f t="shared" ref="C13" si="4">(C11-C10)*C5</f>
        <v>-0.24199999999999938</v>
      </c>
      <c r="D13" s="4">
        <f>(D10-D11)*D5</f>
        <v>6.5670000000000002</v>
      </c>
      <c r="E13" s="14">
        <f>(E10-E11)*E5</f>
        <v>-0.33099999999999935</v>
      </c>
      <c r="F13" s="149" t="s">
        <v>78</v>
      </c>
      <c r="M13" s="153"/>
    </row>
    <row r="14" spans="1:13" ht="23.4" x14ac:dyDescent="0.45">
      <c r="A14" s="87" t="s">
        <v>100</v>
      </c>
      <c r="B14" s="8">
        <f>B13*B4</f>
        <v>13.85999999999998</v>
      </c>
      <c r="C14" s="8">
        <f t="shared" ref="C14:E14" si="5">C13*C4</f>
        <v>-1597.199999999996</v>
      </c>
      <c r="D14" s="8">
        <f t="shared" si="5"/>
        <v>43342.200000000004</v>
      </c>
      <c r="E14" s="19">
        <f t="shared" si="5"/>
        <v>-2184.5999999999958</v>
      </c>
      <c r="F14" s="149"/>
    </row>
    <row r="15" spans="1:13" ht="24" thickBot="1" x14ac:dyDescent="0.5">
      <c r="A15" s="83" t="s">
        <v>101</v>
      </c>
      <c r="B15" s="5">
        <f>((B7)*(B4-B3))</f>
        <v>0</v>
      </c>
      <c r="C15" s="5">
        <f>(C7+C13)*(C4-C3)</f>
        <v>36.440000000000126</v>
      </c>
      <c r="D15" s="5">
        <f>D7*(D4-D3)</f>
        <v>132.33000000000001</v>
      </c>
      <c r="E15" s="15">
        <f>(E7+E13)*(E4-E3)</f>
        <v>66.130000000000138</v>
      </c>
      <c r="F15" s="90"/>
    </row>
    <row r="16" spans="1:13" ht="27" thickTop="1" thickBot="1" x14ac:dyDescent="0.5">
      <c r="A16" s="154" t="s">
        <v>30</v>
      </c>
      <c r="B16" s="30">
        <f>B15+B14</f>
        <v>13.85999999999998</v>
      </c>
      <c r="C16" s="30">
        <f>C15+C14</f>
        <v>-1560.7599999999959</v>
      </c>
      <c r="D16" s="30">
        <f t="shared" ref="D16:E16" si="6">D15+D14</f>
        <v>43474.530000000006</v>
      </c>
      <c r="E16" s="48">
        <f t="shared" si="6"/>
        <v>-2118.4699999999957</v>
      </c>
      <c r="F16" s="90" t="s">
        <v>126</v>
      </c>
    </row>
    <row r="17" spans="1:8" ht="25.8" customHeight="1" thickTop="1" x14ac:dyDescent="0.45">
      <c r="A17" s="155" t="s">
        <v>11</v>
      </c>
      <c r="B17" s="7">
        <f>(B18-B9)/B9</f>
        <v>5.6157240272763684E-2</v>
      </c>
      <c r="C17" s="7">
        <f>(C18-C9)/C9</f>
        <v>-0.57489097123997956</v>
      </c>
      <c r="D17" s="7">
        <f t="shared" ref="D17:E17" si="7">(D18-D9)/D9</f>
        <v>10.266599127182046</v>
      </c>
      <c r="E17" s="49">
        <f t="shared" si="7"/>
        <v>-0.50028102093251614</v>
      </c>
      <c r="F17" s="149" t="s">
        <v>43</v>
      </c>
    </row>
    <row r="18" spans="1:8" ht="26.4" customHeight="1" x14ac:dyDescent="0.3">
      <c r="A18" s="91" t="s">
        <v>13</v>
      </c>
      <c r="B18" s="8">
        <f>B16+B9</f>
        <v>260.66699999999997</v>
      </c>
      <c r="C18" s="8">
        <f>C16+C9</f>
        <v>1154.1200000000042</v>
      </c>
      <c r="D18" s="8">
        <f t="shared" ref="D18:E18" si="8">D16+D9</f>
        <v>47709.090000000004</v>
      </c>
      <c r="E18" s="19">
        <f t="shared" si="8"/>
        <v>2116.0900000000047</v>
      </c>
      <c r="F18" s="110"/>
    </row>
    <row r="19" spans="1:8" ht="28.2" customHeight="1" thickBot="1" x14ac:dyDescent="0.35">
      <c r="A19" s="156" t="s">
        <v>14</v>
      </c>
      <c r="B19" s="29">
        <f>B7+B13</f>
        <v>3.9494999999999995E-2</v>
      </c>
      <c r="C19" s="29">
        <f>C7+C13</f>
        <v>0.18220000000000064</v>
      </c>
      <c r="D19" s="29">
        <f t="shared" ref="D19:E19" si="9">D7+D13</f>
        <v>7.22865</v>
      </c>
      <c r="E19" s="40">
        <f t="shared" si="9"/>
        <v>0.33065000000000072</v>
      </c>
      <c r="F19" s="110"/>
    </row>
    <row r="20" spans="1:8" ht="24.6" thickTop="1" thickBot="1" x14ac:dyDescent="0.5">
      <c r="A20" s="157" t="s">
        <v>12</v>
      </c>
      <c r="B20" s="39">
        <f>B10-(B10/B6)+B10*0.025</f>
        <v>7.2920250000000004E-5</v>
      </c>
      <c r="C20" s="39">
        <f>C10-(C10/C6)+C10*0.025</f>
        <v>3.92385E-5</v>
      </c>
      <c r="D20" s="39">
        <f t="shared" ref="D20:E20" si="10">D10+(D10/D6)-D10*0.025</f>
        <v>1.3563825E-4</v>
      </c>
      <c r="E20" s="39">
        <f t="shared" si="10"/>
        <v>1.3563825E-4</v>
      </c>
      <c r="F20" s="78" t="s">
        <v>41</v>
      </c>
    </row>
    <row r="21" spans="1:8" ht="29.4" thickTop="1" x14ac:dyDescent="0.3">
      <c r="A21" s="158" t="s">
        <v>22</v>
      </c>
      <c r="B21" s="159">
        <f>(B10*B5*0.0005)*B3+(B11*B5*0.0005)*B4</f>
        <v>4.9430699999999987</v>
      </c>
      <c r="C21" s="159">
        <f t="shared" ref="C21:E21" si="11">(C10*C5*0.0005)*C3+(C11*C5*0.0005)*C4</f>
        <v>26.7744</v>
      </c>
      <c r="D21" s="159">
        <f t="shared" si="11"/>
        <v>64.343400000000003</v>
      </c>
      <c r="E21" s="160">
        <f t="shared" si="11"/>
        <v>87.106799999999993</v>
      </c>
      <c r="F21" s="161" t="s">
        <v>84</v>
      </c>
    </row>
    <row r="22" spans="1:8" ht="28.8" x14ac:dyDescent="0.3">
      <c r="A22" s="99" t="s">
        <v>27</v>
      </c>
      <c r="B22" s="162">
        <f>(B10*B5*0.0005)*B3+B11*B5*0.0025*(-1)*B4</f>
        <v>-9.9069299999999991</v>
      </c>
      <c r="C22" s="162">
        <f t="shared" ref="C22:E22" si="12">(C10*C5*0.0005)*C3+C11*C5*0.0025*(-1)*C4</f>
        <v>-52.425600000000003</v>
      </c>
      <c r="D22" s="162">
        <f t="shared" si="12"/>
        <v>-67.643400000000014</v>
      </c>
      <c r="E22" s="163">
        <f t="shared" si="12"/>
        <v>-181.46040000000002</v>
      </c>
      <c r="F22" s="161" t="s">
        <v>38</v>
      </c>
    </row>
    <row r="23" spans="1:8" ht="28.8" x14ac:dyDescent="0.3">
      <c r="A23" s="99" t="s">
        <v>32</v>
      </c>
      <c r="B23" s="162">
        <f>(B10*B5*0.0005)*B3+B11*B5*0.00225*(-1)*B4</f>
        <v>-8.6694299999999984</v>
      </c>
      <c r="C23" s="162">
        <f t="shared" ref="C23:E23" si="13">(C10*C5*0.0005)*C3+C11*C5*0.00225*(-1)*C4</f>
        <v>-45.825599999999994</v>
      </c>
      <c r="D23" s="162">
        <f t="shared" si="13"/>
        <v>-56.644500000000001</v>
      </c>
      <c r="E23" s="163">
        <f t="shared" si="13"/>
        <v>-159.07980000000001</v>
      </c>
      <c r="F23" s="161" t="s">
        <v>85</v>
      </c>
    </row>
    <row r="24" spans="1:8" ht="28.8" x14ac:dyDescent="0.45">
      <c r="A24" s="99" t="s">
        <v>28</v>
      </c>
      <c r="B24" s="162">
        <f>(B10*B5*0.0025)*B3*(-1)+B11*B5*0.0005*B4</f>
        <v>-9.8653499999999994</v>
      </c>
      <c r="C24" s="162">
        <f>(C10*C5*0.0025)*C3*(-1)+C11*C5*0.0005*C4</f>
        <v>-54.671999999999997</v>
      </c>
      <c r="D24" s="162">
        <f>(D10*D5*0.0025)*D3*(-1)+D11*D5*0.0005*D4</f>
        <v>-189.7302</v>
      </c>
      <c r="E24" s="163">
        <f>(E10*E5*0.0025)*E3*(-1)+E11*E5*0.0005*E4</f>
        <v>-166.96680000000001</v>
      </c>
      <c r="F24" s="164" t="s">
        <v>40</v>
      </c>
    </row>
    <row r="25" spans="1:8" ht="28.8" x14ac:dyDescent="0.45">
      <c r="A25" s="99" t="s">
        <v>33</v>
      </c>
      <c r="B25" s="162">
        <f>(B10*B5*0.00225)*B3*(-1)+B11*B5*0.0005*B4</f>
        <v>-8.6313149999999972</v>
      </c>
      <c r="C25" s="162">
        <f t="shared" ref="C25:E25" si="14">(C10*C5*0.00225)*C3*(-1)+C11*C5*0.0005*C4</f>
        <v>-47.884799999999991</v>
      </c>
      <c r="D25" s="162">
        <f t="shared" si="14"/>
        <v>-168.55739999999997</v>
      </c>
      <c r="E25" s="163">
        <f t="shared" si="14"/>
        <v>-145.79399999999998</v>
      </c>
      <c r="F25" s="164" t="s">
        <v>54</v>
      </c>
    </row>
    <row r="26" spans="1:8" ht="28.8" x14ac:dyDescent="0.45">
      <c r="A26" s="99" t="s">
        <v>29</v>
      </c>
      <c r="B26" s="162">
        <f>(B10*B5*0.0025)*B3*(-1)+B11*B5*0.0025*B4*(-1)</f>
        <v>-24.715349999999997</v>
      </c>
      <c r="C26" s="162">
        <f t="shared" ref="C26:E26" si="15">(C10*C5*0.0025)*C3*(-1)+C11*C5*0.0025*C4*(-1)</f>
        <v>-133.87200000000001</v>
      </c>
      <c r="D26" s="162">
        <f t="shared" si="15"/>
        <v>-321.71700000000004</v>
      </c>
      <c r="E26" s="163">
        <f t="shared" si="15"/>
        <v>-435.53399999999999</v>
      </c>
      <c r="F26" s="165"/>
    </row>
    <row r="27" spans="1:8" ht="29.4" thickBot="1" x14ac:dyDescent="0.5">
      <c r="A27" s="166" t="s">
        <v>34</v>
      </c>
      <c r="B27" s="167">
        <f>(B10*B5*0.00225)*B3*(-1)+B11*B5*0.00225*B4*(-1)</f>
        <v>-22.243814999999994</v>
      </c>
      <c r="C27" s="167">
        <f t="shared" ref="C27:E27" si="16">(C10*C5*0.00225)*C3*(-1)+C11*C5*0.00225*C4*(-1)</f>
        <v>-120.48479999999999</v>
      </c>
      <c r="D27" s="167">
        <f t="shared" si="16"/>
        <v>-289.5453</v>
      </c>
      <c r="E27" s="168">
        <f t="shared" si="16"/>
        <v>-391.98059999999998</v>
      </c>
      <c r="F27" s="165"/>
    </row>
    <row r="28" spans="1:8" ht="26.4" thickTop="1" x14ac:dyDescent="0.45">
      <c r="A28" s="169" t="s">
        <v>31</v>
      </c>
      <c r="B28" s="41">
        <f>B16+B21</f>
        <v>18.803069999999977</v>
      </c>
      <c r="C28" s="42">
        <f>C16+C21</f>
        <v>-1533.9855999999959</v>
      </c>
      <c r="D28" s="41">
        <f>D16+D21</f>
        <v>43538.873400000004</v>
      </c>
      <c r="E28" s="50">
        <f>E16+E21</f>
        <v>-2031.3631999999957</v>
      </c>
      <c r="F28" s="149" t="s">
        <v>86</v>
      </c>
    </row>
    <row r="29" spans="1:8" ht="25.8" x14ac:dyDescent="0.45">
      <c r="A29" s="170" t="s">
        <v>35</v>
      </c>
      <c r="B29" s="171">
        <f>B16+B23</f>
        <v>5.1905699999999815</v>
      </c>
      <c r="C29" s="114">
        <f>C16+C23</f>
        <v>-1606.5855999999958</v>
      </c>
      <c r="D29" s="171">
        <f>D16+D23</f>
        <v>43417.885500000004</v>
      </c>
      <c r="E29" s="172">
        <f>E16+E23</f>
        <v>-2277.5497999999957</v>
      </c>
      <c r="F29" s="173"/>
    </row>
    <row r="30" spans="1:8" ht="25.8" x14ac:dyDescent="0.3">
      <c r="A30" s="170" t="s">
        <v>36</v>
      </c>
      <c r="B30" s="171">
        <f>B16+B25</f>
        <v>5.2286849999999827</v>
      </c>
      <c r="C30" s="114">
        <f>C16+C25</f>
        <v>-1608.6447999999959</v>
      </c>
      <c r="D30" s="171">
        <f>D16+D25</f>
        <v>43305.972600000008</v>
      </c>
      <c r="E30" s="172">
        <f>E16+E25</f>
        <v>-2264.2639999999956</v>
      </c>
      <c r="F30" s="116" t="s">
        <v>15</v>
      </c>
    </row>
    <row r="31" spans="1:8" ht="26.4" thickBot="1" x14ac:dyDescent="0.35">
      <c r="A31" s="174" t="s">
        <v>37</v>
      </c>
      <c r="B31" s="175">
        <f>B16+B27</f>
        <v>-8.3838150000000145</v>
      </c>
      <c r="C31" s="176">
        <f>C16+C27</f>
        <v>-1681.2447999999958</v>
      </c>
      <c r="D31" s="175">
        <f>D16+D27</f>
        <v>43184.984700000008</v>
      </c>
      <c r="E31" s="177">
        <f>E16+E27</f>
        <v>-2510.4505999999956</v>
      </c>
      <c r="F31" s="178" t="s">
        <v>75</v>
      </c>
    </row>
    <row r="32" spans="1:8" ht="27" thickTop="1" thickBot="1" x14ac:dyDescent="0.55000000000000004">
      <c r="A32" s="121" t="s">
        <v>16</v>
      </c>
      <c r="B32" s="122" t="s">
        <v>17</v>
      </c>
      <c r="C32" s="121" t="s">
        <v>18</v>
      </c>
      <c r="D32" s="123" t="s">
        <v>19</v>
      </c>
      <c r="E32" s="124"/>
      <c r="F32" s="125" t="s">
        <v>168</v>
      </c>
      <c r="H32" s="65"/>
    </row>
    <row r="33" spans="1:7" ht="30" thickTop="1" thickBot="1" x14ac:dyDescent="0.55000000000000004">
      <c r="A33" s="126" t="s">
        <v>20</v>
      </c>
      <c r="B33" s="127" t="s">
        <v>125</v>
      </c>
      <c r="C33" s="128"/>
      <c r="D33" s="128"/>
      <c r="E33" s="129"/>
      <c r="F33" s="130" t="s">
        <v>87</v>
      </c>
    </row>
    <row r="34" spans="1:7" ht="28.8" customHeight="1" thickTop="1" x14ac:dyDescent="0.5">
      <c r="A34" s="179"/>
      <c r="B34" s="180"/>
      <c r="C34" s="181"/>
      <c r="D34" s="181"/>
      <c r="E34" s="182"/>
      <c r="G34" s="183"/>
    </row>
  </sheetData>
  <sheetProtection algorithmName="SHA-512" hashValue="tN1tzFRyktzwiYjNjtaJOACzvwebYIgXEvpoY0KgtRWrjJ7ZDPAOMiL6mbKx983pmxTZI4/kahSdFnkQRn/t5g==" saltValue="5NkSDEoZ794XQJcSJbHCtg==" spinCount="100000" sheet="1" objects="1" scenarios="1"/>
  <hyperlinks>
    <hyperlink ref="D32:E32" r:id="rId1" display="Created by MinistryOfMarginTrading" xr:uid="{166F52B3-6DC0-439F-B6DC-AA39CBC65AE4}"/>
    <hyperlink ref="D32" r:id="rId2" xr:uid="{0CDF818B-447B-4E45-8EEB-D7B66368D335}"/>
    <hyperlink ref="F33" r:id="rId3" xr:uid="{8D80540F-BA86-476D-AFB2-079781AD8487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807A9-6F5E-4FA0-A234-50EC07651962}">
  <dimension ref="A1:M34"/>
  <sheetViews>
    <sheetView zoomScale="50" zoomScaleNormal="50" workbookViewId="0">
      <selection activeCell="C13" sqref="C13"/>
    </sheetView>
  </sheetViews>
  <sheetFormatPr defaultRowHeight="14.4" x14ac:dyDescent="0.3"/>
  <cols>
    <col min="1" max="1" width="62.33203125" style="70" customWidth="1"/>
    <col min="2" max="2" width="30.6640625" style="70" customWidth="1"/>
    <col min="3" max="3" width="31.21875" style="70" customWidth="1"/>
    <col min="4" max="4" width="30.21875" style="70" customWidth="1"/>
    <col min="5" max="5" width="33" style="70" customWidth="1"/>
    <col min="6" max="6" width="143.88671875" style="70" customWidth="1"/>
    <col min="7" max="7" width="22.21875" style="70" customWidth="1"/>
    <col min="8" max="8" width="21.21875" style="70" customWidth="1"/>
    <col min="9" max="16384" width="8.88671875" style="70"/>
  </cols>
  <sheetData>
    <row r="1" spans="1:13" ht="77.400000000000006" customHeight="1" thickTop="1" thickBot="1" x14ac:dyDescent="0.55000000000000004">
      <c r="A1" s="65"/>
      <c r="B1" s="140" t="s">
        <v>23</v>
      </c>
      <c r="C1" s="140" t="s">
        <v>24</v>
      </c>
      <c r="D1" s="140" t="s">
        <v>25</v>
      </c>
      <c r="E1" s="141" t="s">
        <v>26</v>
      </c>
      <c r="F1" s="69" t="s">
        <v>163</v>
      </c>
      <c r="G1" s="142"/>
      <c r="H1" s="143"/>
    </row>
    <row r="2" spans="1:13" ht="25.2" customHeight="1" thickTop="1" thickBot="1" x14ac:dyDescent="0.5">
      <c r="A2" s="144" t="s">
        <v>121</v>
      </c>
      <c r="B2" s="72" t="s">
        <v>111</v>
      </c>
      <c r="C2" s="73" t="s">
        <v>112</v>
      </c>
      <c r="D2" s="74" t="s">
        <v>113</v>
      </c>
      <c r="E2" s="145" t="s">
        <v>114</v>
      </c>
      <c r="F2" s="146" t="s">
        <v>76</v>
      </c>
    </row>
    <row r="3" spans="1:13" ht="25.2" customHeight="1" thickTop="1" thickBot="1" x14ac:dyDescent="0.5">
      <c r="A3" s="147" t="s">
        <v>63</v>
      </c>
      <c r="B3" s="190">
        <v>6600</v>
      </c>
      <c r="C3" s="190">
        <v>6600</v>
      </c>
      <c r="D3" s="190">
        <v>6600</v>
      </c>
      <c r="E3" s="191">
        <v>6600</v>
      </c>
      <c r="F3" s="78" t="s">
        <v>148</v>
      </c>
    </row>
    <row r="4" spans="1:13" ht="27.6" customHeight="1" thickTop="1" thickBot="1" x14ac:dyDescent="0.5">
      <c r="A4" s="148" t="s">
        <v>64</v>
      </c>
      <c r="B4" s="192">
        <v>6666</v>
      </c>
      <c r="C4" s="192">
        <v>6666</v>
      </c>
      <c r="D4" s="192">
        <v>6666</v>
      </c>
      <c r="E4" s="193">
        <v>6666</v>
      </c>
      <c r="F4" s="149"/>
    </row>
    <row r="5" spans="1:13" ht="24" customHeight="1" thickTop="1" thickBot="1" x14ac:dyDescent="0.5">
      <c r="A5" s="148" t="s">
        <v>164</v>
      </c>
      <c r="B5" s="51">
        <v>1000</v>
      </c>
      <c r="C5" s="51">
        <v>1000</v>
      </c>
      <c r="D5" s="51">
        <v>1000</v>
      </c>
      <c r="E5" s="52">
        <v>1000</v>
      </c>
      <c r="F5" s="149" t="s">
        <v>77</v>
      </c>
    </row>
    <row r="6" spans="1:13" ht="24.6" thickTop="1" thickBot="1" x14ac:dyDescent="0.5">
      <c r="A6" s="79" t="s">
        <v>162</v>
      </c>
      <c r="B6" s="23">
        <v>10</v>
      </c>
      <c r="C6" s="23">
        <v>10</v>
      </c>
      <c r="D6" s="23">
        <v>10</v>
      </c>
      <c r="E6" s="43">
        <v>10</v>
      </c>
      <c r="F6" s="149" t="s">
        <v>120</v>
      </c>
    </row>
    <row r="7" spans="1:13" ht="24" thickTop="1" x14ac:dyDescent="0.45">
      <c r="A7" s="150" t="s">
        <v>105</v>
      </c>
      <c r="B7" s="34">
        <f>(B8/B6)</f>
        <v>0.91899999999999993</v>
      </c>
      <c r="C7" s="34">
        <f t="shared" ref="C7:E7" si="0">(C8/C6)+(C8/C6)*0.25</f>
        <v>1.1487499999999999</v>
      </c>
      <c r="D7" s="34">
        <f t="shared" si="0"/>
        <v>1.1287499999999999</v>
      </c>
      <c r="E7" s="34">
        <f t="shared" si="0"/>
        <v>1.1287499999999999</v>
      </c>
      <c r="F7" s="149" t="s">
        <v>44</v>
      </c>
    </row>
    <row r="8" spans="1:13" ht="23.4" x14ac:dyDescent="0.45">
      <c r="A8" s="82" t="s">
        <v>4</v>
      </c>
      <c r="B8" s="28">
        <f>B10*B5</f>
        <v>9.19</v>
      </c>
      <c r="C8" s="28">
        <f t="shared" ref="C8:E8" si="1">C10*C5</f>
        <v>9.19</v>
      </c>
      <c r="D8" s="3">
        <f t="shared" si="1"/>
        <v>9.0299999999999994</v>
      </c>
      <c r="E8" s="13">
        <f t="shared" si="1"/>
        <v>9.0299999999999994</v>
      </c>
      <c r="F8" s="149" t="s">
        <v>46</v>
      </c>
      <c r="H8" s="151"/>
    </row>
    <row r="9" spans="1:13" ht="24" thickBot="1" x14ac:dyDescent="0.5">
      <c r="A9" s="152" t="s">
        <v>108</v>
      </c>
      <c r="B9" s="38">
        <f>B7*B3</f>
        <v>6065.4</v>
      </c>
      <c r="C9" s="35">
        <f>C7*C3</f>
        <v>7581.75</v>
      </c>
      <c r="D9" s="32">
        <f t="shared" ref="D9:E9" si="2">D7*D3</f>
        <v>7449.7499999999991</v>
      </c>
      <c r="E9" s="45">
        <f t="shared" si="2"/>
        <v>7449.7499999999991</v>
      </c>
      <c r="F9" s="149" t="s">
        <v>70</v>
      </c>
    </row>
    <row r="10" spans="1:13" ht="24.6" thickTop="1" thickBot="1" x14ac:dyDescent="0.5">
      <c r="A10" s="84" t="s">
        <v>165</v>
      </c>
      <c r="B10" s="53">
        <v>9.1900000000000003E-3</v>
      </c>
      <c r="C10" s="53">
        <v>9.1900000000000003E-3</v>
      </c>
      <c r="D10" s="53">
        <v>9.0299999999999998E-3</v>
      </c>
      <c r="E10" s="54">
        <v>9.0299999999999998E-3</v>
      </c>
      <c r="F10" s="149" t="s">
        <v>71</v>
      </c>
    </row>
    <row r="11" spans="1:13" ht="24.6" thickTop="1" thickBot="1" x14ac:dyDescent="0.5">
      <c r="A11" s="85" t="s">
        <v>166</v>
      </c>
      <c r="B11" s="55">
        <v>9.9299999999999996E-3</v>
      </c>
      <c r="C11" s="55">
        <v>9.1800000000000007E-3</v>
      </c>
      <c r="D11" s="55">
        <v>8.5000000000000006E-3</v>
      </c>
      <c r="E11" s="54">
        <v>9.6600000000000002E-3</v>
      </c>
      <c r="F11" s="149" t="s">
        <v>72</v>
      </c>
    </row>
    <row r="12" spans="1:13" ht="24" thickTop="1" x14ac:dyDescent="0.45">
      <c r="A12" s="86" t="s">
        <v>97</v>
      </c>
      <c r="B12" s="7">
        <f>(B11-B10)/B10</f>
        <v>8.0522306855277406E-2</v>
      </c>
      <c r="C12" s="31">
        <f t="shared" ref="C12:E12" si="3">(C11-C10)/C10</f>
        <v>-1.0881392818280296E-3</v>
      </c>
      <c r="D12" s="7">
        <f t="shared" si="3"/>
        <v>-5.8693244739756283E-2</v>
      </c>
      <c r="E12" s="47">
        <f t="shared" si="3"/>
        <v>6.9767441860465157E-2</v>
      </c>
      <c r="F12" s="149" t="s">
        <v>73</v>
      </c>
    </row>
    <row r="13" spans="1:13" ht="23.4" x14ac:dyDescent="0.45">
      <c r="A13" s="82" t="s">
        <v>99</v>
      </c>
      <c r="B13" s="4">
        <f>(B11-B10)*B5</f>
        <v>0.73999999999999932</v>
      </c>
      <c r="C13" s="4">
        <f t="shared" ref="C13" si="4">(C11-C10)*C5</f>
        <v>-9.9999999999995925E-3</v>
      </c>
      <c r="D13" s="4">
        <f>(D10-D11)*D5</f>
        <v>0.52999999999999925</v>
      </c>
      <c r="E13" s="14">
        <f>(E10-E11)*E5</f>
        <v>-0.63000000000000034</v>
      </c>
      <c r="F13" s="149" t="s">
        <v>78</v>
      </c>
      <c r="M13" s="153"/>
    </row>
    <row r="14" spans="1:13" ht="23.4" x14ac:dyDescent="0.45">
      <c r="A14" s="87" t="s">
        <v>100</v>
      </c>
      <c r="B14" s="8">
        <f>B13*B4</f>
        <v>4932.8399999999956</v>
      </c>
      <c r="C14" s="8">
        <f t="shared" ref="C14:E14" si="5">C13*C4</f>
        <v>-66.659999999997282</v>
      </c>
      <c r="D14" s="8">
        <f t="shared" si="5"/>
        <v>3532.979999999995</v>
      </c>
      <c r="E14" s="19">
        <f t="shared" si="5"/>
        <v>-4199.5800000000027</v>
      </c>
      <c r="F14" s="149"/>
    </row>
    <row r="15" spans="1:13" ht="24" thickBot="1" x14ac:dyDescent="0.5">
      <c r="A15" s="83" t="s">
        <v>101</v>
      </c>
      <c r="B15" s="5">
        <f>((B7)*(B4-B3))</f>
        <v>60.653999999999996</v>
      </c>
      <c r="C15" s="5">
        <f>(C7+C13)*(C4-C3)</f>
        <v>75.157500000000027</v>
      </c>
      <c r="D15" s="5">
        <f>D7*(D4-D3)</f>
        <v>74.497499999999988</v>
      </c>
      <c r="E15" s="15">
        <f>(E7+E13)*(E4-E3)</f>
        <v>32.917499999999976</v>
      </c>
      <c r="F15" s="90"/>
    </row>
    <row r="16" spans="1:13" ht="27" thickTop="1" thickBot="1" x14ac:dyDescent="0.5">
      <c r="A16" s="154" t="s">
        <v>30</v>
      </c>
      <c r="B16" s="30">
        <f>B15+B14</f>
        <v>4993.4939999999951</v>
      </c>
      <c r="C16" s="30">
        <f>C15+C14</f>
        <v>8.497500000002745</v>
      </c>
      <c r="D16" s="30">
        <f t="shared" ref="D16:E16" si="6">D15+D14</f>
        <v>3607.477499999995</v>
      </c>
      <c r="E16" s="48">
        <f t="shared" si="6"/>
        <v>-4166.6625000000031</v>
      </c>
      <c r="F16" s="90" t="s">
        <v>126</v>
      </c>
    </row>
    <row r="17" spans="1:8" ht="25.8" customHeight="1" thickTop="1" x14ac:dyDescent="0.45">
      <c r="A17" s="155" t="s">
        <v>11</v>
      </c>
      <c r="B17" s="7">
        <f>(B18-B9)/B9</f>
        <v>0.82327529923830178</v>
      </c>
      <c r="C17" s="7">
        <f>(C18-C9)/C9</f>
        <v>1.1207834602833288E-3</v>
      </c>
      <c r="D17" s="7">
        <f t="shared" ref="D17:E17" si="7">(D18-D9)/D9</f>
        <v>0.48424141749723076</v>
      </c>
      <c r="E17" s="49">
        <f t="shared" si="7"/>
        <v>-0.55930232558139581</v>
      </c>
      <c r="F17" s="149" t="s">
        <v>43</v>
      </c>
    </row>
    <row r="18" spans="1:8" ht="26.4" customHeight="1" x14ac:dyDescent="0.3">
      <c r="A18" s="91" t="s">
        <v>13</v>
      </c>
      <c r="B18" s="8">
        <f>B16+B9</f>
        <v>11058.893999999995</v>
      </c>
      <c r="C18" s="8">
        <f>C16+C9</f>
        <v>7590.2475000000031</v>
      </c>
      <c r="D18" s="8">
        <f t="shared" ref="D18:E18" si="8">D16+D9</f>
        <v>11057.227499999994</v>
      </c>
      <c r="E18" s="19">
        <f t="shared" si="8"/>
        <v>3283.087499999996</v>
      </c>
      <c r="F18" s="110"/>
    </row>
    <row r="19" spans="1:8" ht="28.2" customHeight="1" thickBot="1" x14ac:dyDescent="0.35">
      <c r="A19" s="156" t="s">
        <v>14</v>
      </c>
      <c r="B19" s="29">
        <f>B7+B13</f>
        <v>1.6589999999999994</v>
      </c>
      <c r="C19" s="29">
        <f>C7+C13</f>
        <v>1.1387500000000004</v>
      </c>
      <c r="D19" s="29">
        <f t="shared" ref="D19:E19" si="9">D7+D13</f>
        <v>1.6587499999999991</v>
      </c>
      <c r="E19" s="40">
        <f t="shared" si="9"/>
        <v>0.49874999999999958</v>
      </c>
      <c r="F19" s="110"/>
    </row>
    <row r="20" spans="1:8" ht="24.6" thickTop="1" thickBot="1" x14ac:dyDescent="0.5">
      <c r="A20" s="157" t="s">
        <v>12</v>
      </c>
      <c r="B20" s="56">
        <f>B10-(B10/B6)+B10*0.025</f>
        <v>8.5007500000000014E-3</v>
      </c>
      <c r="C20" s="56">
        <f>C10-(C10/C6)+C10*0.025</f>
        <v>8.5007500000000014E-3</v>
      </c>
      <c r="D20" s="56">
        <f t="shared" ref="D20:E20" si="10">D10+(D10/D6)-D10*0.025</f>
        <v>9.7072499999999989E-3</v>
      </c>
      <c r="E20" s="56">
        <f t="shared" si="10"/>
        <v>9.7072499999999989E-3</v>
      </c>
      <c r="F20" s="78" t="s">
        <v>41</v>
      </c>
    </row>
    <row r="21" spans="1:8" ht="29.4" thickTop="1" x14ac:dyDescent="0.3">
      <c r="A21" s="158" t="s">
        <v>22</v>
      </c>
      <c r="B21" s="159">
        <f>(B10*B5*0.0005)*B3+(B11*B5*0.0005)*B4</f>
        <v>63.423689999999993</v>
      </c>
      <c r="C21" s="159">
        <f t="shared" ref="C21:E21" si="11">(C10*C5*0.0005)*C3+(C11*C5*0.0005)*C4</f>
        <v>60.923940000000009</v>
      </c>
      <c r="D21" s="159">
        <f t="shared" si="11"/>
        <v>58.1295</v>
      </c>
      <c r="E21" s="160">
        <f t="shared" si="11"/>
        <v>61.995780000000003</v>
      </c>
      <c r="F21" s="161" t="s">
        <v>84</v>
      </c>
    </row>
    <row r="22" spans="1:8" ht="28.8" x14ac:dyDescent="0.3">
      <c r="A22" s="99" t="s">
        <v>27</v>
      </c>
      <c r="B22" s="162">
        <f>(B10*B5*0.0005)*B3+B11*B5*0.0025*(-1)*B4</f>
        <v>-135.15645000000001</v>
      </c>
      <c r="C22" s="162">
        <f t="shared" ref="C22:E22" si="12">(C10*C5*0.0005)*C3+C11*C5*0.0025*(-1)*C4</f>
        <v>-122.65770000000003</v>
      </c>
      <c r="D22" s="162">
        <f t="shared" si="12"/>
        <v>-111.8535</v>
      </c>
      <c r="E22" s="163">
        <f t="shared" si="12"/>
        <v>-131.1849</v>
      </c>
      <c r="F22" s="161" t="s">
        <v>38</v>
      </c>
    </row>
    <row r="23" spans="1:8" ht="28.8" x14ac:dyDescent="0.3">
      <c r="A23" s="99" t="s">
        <v>32</v>
      </c>
      <c r="B23" s="162">
        <f>(B10*B5*0.0005)*B3+B11*B5*0.00225*(-1)*B4</f>
        <v>-118.60810499999999</v>
      </c>
      <c r="C23" s="162">
        <f t="shared" ref="C23:E23" si="13">(C10*C5*0.0005)*C3+C11*C5*0.00225*(-1)*C4</f>
        <v>-107.35923000000003</v>
      </c>
      <c r="D23" s="162">
        <f t="shared" si="13"/>
        <v>-97.688250000000011</v>
      </c>
      <c r="E23" s="163">
        <f t="shared" si="13"/>
        <v>-115.08650999999998</v>
      </c>
      <c r="F23" s="161" t="s">
        <v>85</v>
      </c>
    </row>
    <row r="24" spans="1:8" ht="28.8" x14ac:dyDescent="0.45">
      <c r="A24" s="99" t="s">
        <v>28</v>
      </c>
      <c r="B24" s="162">
        <f>(B10*B5*0.0025)*B3*(-1)+B11*B5*0.0005*B4</f>
        <v>-118.53831</v>
      </c>
      <c r="C24" s="162">
        <f>(C10*C5*0.0025)*C3*(-1)+C11*C5*0.0005*C4</f>
        <v>-121.03805999999999</v>
      </c>
      <c r="D24" s="162">
        <f>(D10*D5*0.0025)*D3*(-1)+D11*D5*0.0005*D4</f>
        <v>-120.66449999999998</v>
      </c>
      <c r="E24" s="163">
        <f>(E10*E5*0.0025)*E3*(-1)+E11*E5*0.0005*E4</f>
        <v>-116.79821999999997</v>
      </c>
      <c r="F24" s="164" t="s">
        <v>40</v>
      </c>
    </row>
    <row r="25" spans="1:8" ht="28.8" x14ac:dyDescent="0.45">
      <c r="A25" s="99" t="s">
        <v>33</v>
      </c>
      <c r="B25" s="162">
        <f>(B10*B5*0.00225)*B3*(-1)+B11*B5*0.0005*B4</f>
        <v>-103.37481</v>
      </c>
      <c r="C25" s="162">
        <f t="shared" ref="C25:E25" si="14">(C10*C5*0.00225)*C3*(-1)+C11*C5*0.0005*C4</f>
        <v>-105.87455999999999</v>
      </c>
      <c r="D25" s="162">
        <f t="shared" si="14"/>
        <v>-105.76499999999999</v>
      </c>
      <c r="E25" s="163">
        <f t="shared" si="14"/>
        <v>-101.89871999999998</v>
      </c>
      <c r="F25" s="164" t="s">
        <v>54</v>
      </c>
    </row>
    <row r="26" spans="1:8" ht="28.8" x14ac:dyDescent="0.45">
      <c r="A26" s="99" t="s">
        <v>29</v>
      </c>
      <c r="B26" s="162">
        <f>(B10*B5*0.0025)*B3*(-1)+B11*B5*0.0025*B4*(-1)</f>
        <v>-317.11845</v>
      </c>
      <c r="C26" s="162">
        <f t="shared" ref="C26:E26" si="15">(C10*C5*0.0025)*C3*(-1)+C11*C5*0.0025*C4*(-1)</f>
        <v>-304.61970000000002</v>
      </c>
      <c r="D26" s="162">
        <f t="shared" si="15"/>
        <v>-290.64749999999998</v>
      </c>
      <c r="E26" s="163">
        <f t="shared" si="15"/>
        <v>-309.97889999999995</v>
      </c>
      <c r="F26" s="165"/>
    </row>
    <row r="27" spans="1:8" ht="29.4" thickBot="1" x14ac:dyDescent="0.5">
      <c r="A27" s="166" t="s">
        <v>34</v>
      </c>
      <c r="B27" s="167">
        <f>(B10*B5*0.00225)*B3*(-1)+B11*B5*0.00225*B4*(-1)</f>
        <v>-285.40660500000001</v>
      </c>
      <c r="C27" s="167">
        <f t="shared" ref="C27:E27" si="16">(C10*C5*0.00225)*C3*(-1)+C11*C5*0.00225*C4*(-1)</f>
        <v>-274.15773000000002</v>
      </c>
      <c r="D27" s="167">
        <f t="shared" si="16"/>
        <v>-261.58274999999998</v>
      </c>
      <c r="E27" s="168">
        <f t="shared" si="16"/>
        <v>-278.98100999999997</v>
      </c>
      <c r="F27" s="165"/>
    </row>
    <row r="28" spans="1:8" ht="26.4" thickTop="1" x14ac:dyDescent="0.45">
      <c r="A28" s="169" t="s">
        <v>31</v>
      </c>
      <c r="B28" s="41">
        <f>B16+B21</f>
        <v>5056.9176899999948</v>
      </c>
      <c r="C28" s="42">
        <f>C16+C21</f>
        <v>69.421440000002747</v>
      </c>
      <c r="D28" s="41">
        <f>D16+D21</f>
        <v>3665.606999999995</v>
      </c>
      <c r="E28" s="50">
        <f>E16+E21</f>
        <v>-4104.6667200000029</v>
      </c>
      <c r="F28" s="149" t="s">
        <v>86</v>
      </c>
    </row>
    <row r="29" spans="1:8" ht="25.8" x14ac:dyDescent="0.45">
      <c r="A29" s="170" t="s">
        <v>35</v>
      </c>
      <c r="B29" s="171">
        <f>B16+B23</f>
        <v>4874.8858949999949</v>
      </c>
      <c r="C29" s="114">
        <f>C16+C23</f>
        <v>-98.86172999999728</v>
      </c>
      <c r="D29" s="171">
        <f>D16+D23</f>
        <v>3509.7892499999948</v>
      </c>
      <c r="E29" s="172">
        <f>E16+E23</f>
        <v>-4281.7490100000032</v>
      </c>
      <c r="F29" s="173"/>
    </row>
    <row r="30" spans="1:8" ht="25.8" x14ac:dyDescent="0.3">
      <c r="A30" s="170" t="s">
        <v>36</v>
      </c>
      <c r="B30" s="171">
        <f>B16+B25</f>
        <v>4890.1191899999949</v>
      </c>
      <c r="C30" s="114">
        <f>C16+C25</f>
        <v>-97.377059999997243</v>
      </c>
      <c r="D30" s="171">
        <f>D16+D25</f>
        <v>3501.7124999999951</v>
      </c>
      <c r="E30" s="172">
        <f>E16+E25</f>
        <v>-4268.5612200000032</v>
      </c>
      <c r="F30" s="116" t="s">
        <v>15</v>
      </c>
    </row>
    <row r="31" spans="1:8" ht="26.4" thickBot="1" x14ac:dyDescent="0.35">
      <c r="A31" s="174" t="s">
        <v>37</v>
      </c>
      <c r="B31" s="175">
        <f>B16+B27</f>
        <v>4708.087394999995</v>
      </c>
      <c r="C31" s="176">
        <f>C16+C27</f>
        <v>-265.66022999999728</v>
      </c>
      <c r="D31" s="175">
        <f>D16+D27</f>
        <v>3345.8947499999949</v>
      </c>
      <c r="E31" s="177">
        <f>E16+E27</f>
        <v>-4445.6435100000035</v>
      </c>
      <c r="F31" s="178" t="s">
        <v>75</v>
      </c>
    </row>
    <row r="32" spans="1:8" ht="27" thickTop="1" thickBot="1" x14ac:dyDescent="0.55000000000000004">
      <c r="A32" s="121" t="s">
        <v>16</v>
      </c>
      <c r="B32" s="122" t="s">
        <v>17</v>
      </c>
      <c r="C32" s="121" t="s">
        <v>18</v>
      </c>
      <c r="D32" s="123" t="s">
        <v>19</v>
      </c>
      <c r="E32" s="124"/>
      <c r="F32" s="125" t="s">
        <v>168</v>
      </c>
      <c r="H32" s="65"/>
    </row>
    <row r="33" spans="1:7" ht="30" thickTop="1" thickBot="1" x14ac:dyDescent="0.55000000000000004">
      <c r="A33" s="126" t="s">
        <v>20</v>
      </c>
      <c r="B33" s="127" t="s">
        <v>125</v>
      </c>
      <c r="C33" s="128"/>
      <c r="D33" s="128"/>
      <c r="E33" s="129"/>
      <c r="F33" s="130" t="s">
        <v>87</v>
      </c>
    </row>
    <row r="34" spans="1:7" ht="28.8" customHeight="1" thickTop="1" x14ac:dyDescent="0.5">
      <c r="A34" s="179"/>
      <c r="B34" s="180"/>
      <c r="C34" s="181"/>
      <c r="D34" s="181"/>
      <c r="E34" s="182"/>
      <c r="G34" s="183"/>
    </row>
  </sheetData>
  <sheetProtection algorithmName="SHA-512" hashValue="ARJ9oEOBOpodXUKml5bbi8n8CNs2PL1rn29eDMO1heIKkJkLS+BI9Lp+NUHP5nkQ3SsyT9oOWuTnas5NdPp8Ug==" saltValue="Pqgv0KqGr35nPDJJTelwhw==" spinCount="100000" sheet="1" objects="1" scenarios="1"/>
  <hyperlinks>
    <hyperlink ref="D32:E32" r:id="rId1" display="Created by MinistryOfMarginTrading" xr:uid="{EA602261-2D4F-4FB9-933F-AA5F0548A0D1}"/>
    <hyperlink ref="D32" r:id="rId2" xr:uid="{B21B6F04-14E5-4C97-8A11-8245EDA9A07B}"/>
    <hyperlink ref="F33" r:id="rId3" xr:uid="{B58E20D3-1E5A-4075-A5D7-2438697AE2F1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6B75-DE10-4391-8546-99B42A41B88D}">
  <dimension ref="A1:M34"/>
  <sheetViews>
    <sheetView zoomScale="50" zoomScaleNormal="50" workbookViewId="0">
      <selection activeCell="E11" sqref="B10:E11"/>
    </sheetView>
  </sheetViews>
  <sheetFormatPr defaultRowHeight="14.4" x14ac:dyDescent="0.3"/>
  <cols>
    <col min="1" max="1" width="62.33203125" style="70" customWidth="1"/>
    <col min="2" max="2" width="30.6640625" style="70" customWidth="1"/>
    <col min="3" max="3" width="31.21875" style="70" customWidth="1"/>
    <col min="4" max="4" width="30.21875" style="70" customWidth="1"/>
    <col min="5" max="5" width="32.5546875" style="70" customWidth="1"/>
    <col min="6" max="6" width="143.88671875" style="70" customWidth="1"/>
    <col min="7" max="7" width="22.21875" style="70" customWidth="1"/>
    <col min="8" max="8" width="21.21875" style="70" customWidth="1"/>
    <col min="9" max="16384" width="8.88671875" style="70"/>
  </cols>
  <sheetData>
    <row r="1" spans="1:13" ht="77.400000000000006" customHeight="1" thickTop="1" thickBot="1" x14ac:dyDescent="0.55000000000000004">
      <c r="A1" s="65"/>
      <c r="B1" s="140" t="s">
        <v>23</v>
      </c>
      <c r="C1" s="140" t="s">
        <v>24</v>
      </c>
      <c r="D1" s="140" t="s">
        <v>25</v>
      </c>
      <c r="E1" s="141" t="s">
        <v>26</v>
      </c>
      <c r="F1" s="69" t="s">
        <v>140</v>
      </c>
      <c r="G1" s="142"/>
      <c r="H1" s="143"/>
    </row>
    <row r="2" spans="1:13" ht="25.2" customHeight="1" thickTop="1" thickBot="1" x14ac:dyDescent="0.5">
      <c r="A2" s="144" t="s">
        <v>121</v>
      </c>
      <c r="B2" s="72" t="s">
        <v>133</v>
      </c>
      <c r="C2" s="73" t="s">
        <v>134</v>
      </c>
      <c r="D2" s="74" t="s">
        <v>135</v>
      </c>
      <c r="E2" s="145" t="s">
        <v>136</v>
      </c>
      <c r="F2" s="146" t="s">
        <v>76</v>
      </c>
    </row>
    <row r="3" spans="1:13" ht="25.2" customHeight="1" thickTop="1" thickBot="1" x14ac:dyDescent="0.5">
      <c r="A3" s="147" t="s">
        <v>63</v>
      </c>
      <c r="B3" s="190">
        <v>6600</v>
      </c>
      <c r="C3" s="190">
        <v>6666</v>
      </c>
      <c r="D3" s="190">
        <v>6400</v>
      </c>
      <c r="E3" s="191">
        <v>6600</v>
      </c>
      <c r="F3" s="78" t="s">
        <v>148</v>
      </c>
    </row>
    <row r="4" spans="1:13" ht="27.6" customHeight="1" thickTop="1" thickBot="1" x14ac:dyDescent="0.5">
      <c r="A4" s="148" t="s">
        <v>145</v>
      </c>
      <c r="B4" s="192">
        <v>6666</v>
      </c>
      <c r="C4" s="192">
        <v>6667</v>
      </c>
      <c r="D4" s="192">
        <v>6600</v>
      </c>
      <c r="E4" s="193">
        <v>6600</v>
      </c>
      <c r="F4" s="149"/>
    </row>
    <row r="5" spans="1:13" ht="24" customHeight="1" thickTop="1" thickBot="1" x14ac:dyDescent="0.5">
      <c r="A5" s="148" t="s">
        <v>141</v>
      </c>
      <c r="B5" s="51">
        <v>100</v>
      </c>
      <c r="C5" s="51">
        <v>100</v>
      </c>
      <c r="D5" s="51">
        <v>100</v>
      </c>
      <c r="E5" s="52">
        <v>100</v>
      </c>
      <c r="F5" s="149" t="s">
        <v>149</v>
      </c>
    </row>
    <row r="6" spans="1:13" ht="24.6" thickTop="1" thickBot="1" x14ac:dyDescent="0.5">
      <c r="A6" s="79" t="s">
        <v>146</v>
      </c>
      <c r="B6" s="23">
        <v>10</v>
      </c>
      <c r="C6" s="23">
        <v>10</v>
      </c>
      <c r="D6" s="23">
        <v>20</v>
      </c>
      <c r="E6" s="43">
        <v>20</v>
      </c>
      <c r="F6" s="149" t="s">
        <v>79</v>
      </c>
    </row>
    <row r="7" spans="1:13" ht="24" thickTop="1" x14ac:dyDescent="0.45">
      <c r="A7" s="150" t="s">
        <v>105</v>
      </c>
      <c r="B7" s="34">
        <f>(B10*B5)/B6</f>
        <v>0.80700000000000005</v>
      </c>
      <c r="C7" s="34">
        <f t="shared" ref="C7:E7" si="0">(C10*C5)/C6</f>
        <v>0.81100000000000017</v>
      </c>
      <c r="D7" s="33">
        <f t="shared" si="0"/>
        <v>0.40550000000000008</v>
      </c>
      <c r="E7" s="44">
        <f t="shared" si="0"/>
        <v>0.40550000000000008</v>
      </c>
      <c r="F7" s="149" t="s">
        <v>44</v>
      </c>
    </row>
    <row r="8" spans="1:13" ht="23.4" x14ac:dyDescent="0.45">
      <c r="A8" s="82" t="s">
        <v>4</v>
      </c>
      <c r="B8" s="28">
        <f>B10*B5</f>
        <v>8.07</v>
      </c>
      <c r="C8" s="28">
        <f t="shared" ref="C8:E8" si="1">C10*C5</f>
        <v>8.1100000000000012</v>
      </c>
      <c r="D8" s="3">
        <f t="shared" si="1"/>
        <v>8.1100000000000012</v>
      </c>
      <c r="E8" s="13">
        <f t="shared" si="1"/>
        <v>8.1100000000000012</v>
      </c>
      <c r="F8" s="149" t="s">
        <v>46</v>
      </c>
      <c r="H8" s="151"/>
    </row>
    <row r="9" spans="1:13" ht="24" thickBot="1" x14ac:dyDescent="0.5">
      <c r="A9" s="152" t="s">
        <v>108</v>
      </c>
      <c r="B9" s="38">
        <f>B7*B3</f>
        <v>5326.2000000000007</v>
      </c>
      <c r="C9" s="35">
        <f t="shared" ref="C9:E9" si="2">C7*C3</f>
        <v>5406.1260000000011</v>
      </c>
      <c r="D9" s="32">
        <f t="shared" si="2"/>
        <v>2595.2000000000007</v>
      </c>
      <c r="E9" s="45">
        <f t="shared" si="2"/>
        <v>2676.3000000000006</v>
      </c>
      <c r="F9" s="149" t="s">
        <v>70</v>
      </c>
    </row>
    <row r="10" spans="1:13" ht="24.6" thickTop="1" thickBot="1" x14ac:dyDescent="0.5">
      <c r="A10" s="84" t="s">
        <v>143</v>
      </c>
      <c r="B10" s="57">
        <v>8.0699999999999994E-2</v>
      </c>
      <c r="C10" s="57">
        <v>8.1100000000000005E-2</v>
      </c>
      <c r="D10" s="57">
        <v>8.1100000000000005E-2</v>
      </c>
      <c r="E10" s="58">
        <v>8.1100000000000005E-2</v>
      </c>
      <c r="F10" s="149" t="s">
        <v>71</v>
      </c>
    </row>
    <row r="11" spans="1:13" ht="24.6" thickTop="1" thickBot="1" x14ac:dyDescent="0.5">
      <c r="A11" s="85" t="s">
        <v>144</v>
      </c>
      <c r="B11" s="59">
        <v>8.1199999999999994E-2</v>
      </c>
      <c r="C11" s="59">
        <v>8.1000000000000003E-2</v>
      </c>
      <c r="D11" s="59">
        <v>7.7700000000000005E-2</v>
      </c>
      <c r="E11" s="58">
        <v>8.3500000000000005E-2</v>
      </c>
      <c r="F11" s="149" t="s">
        <v>72</v>
      </c>
    </row>
    <row r="12" spans="1:13" ht="24" thickTop="1" x14ac:dyDescent="0.45">
      <c r="A12" s="86" t="s">
        <v>142</v>
      </c>
      <c r="B12" s="7">
        <f>(B11-B10)/B10</f>
        <v>6.1957868649318527E-3</v>
      </c>
      <c r="C12" s="31">
        <f t="shared" ref="C12:E12" si="3">(C11-C10)/C10</f>
        <v>-1.2330456226880746E-3</v>
      </c>
      <c r="D12" s="7">
        <f t="shared" si="3"/>
        <v>-4.192355117139334E-2</v>
      </c>
      <c r="E12" s="47">
        <f t="shared" si="3"/>
        <v>2.9593094944512937E-2</v>
      </c>
      <c r="F12" s="149" t="s">
        <v>73</v>
      </c>
    </row>
    <row r="13" spans="1:13" ht="23.4" x14ac:dyDescent="0.45">
      <c r="A13" s="82" t="s">
        <v>99</v>
      </c>
      <c r="B13" s="4">
        <f>(B11-B10)*B5</f>
        <v>5.0000000000000044E-2</v>
      </c>
      <c r="C13" s="4">
        <f t="shared" ref="C13" si="4">(C11-C10)*C5</f>
        <v>-1.0000000000000286E-2</v>
      </c>
      <c r="D13" s="4">
        <f>(D10-D11)*D5</f>
        <v>0.34</v>
      </c>
      <c r="E13" s="14">
        <f>(E10-E11)*E5</f>
        <v>-0.23999999999999994</v>
      </c>
      <c r="F13" s="149" t="s">
        <v>78</v>
      </c>
      <c r="M13" s="153"/>
    </row>
    <row r="14" spans="1:13" ht="23.4" x14ac:dyDescent="0.45">
      <c r="A14" s="87" t="s">
        <v>100</v>
      </c>
      <c r="B14" s="8">
        <f>B13*B4</f>
        <v>333.3000000000003</v>
      </c>
      <c r="C14" s="8">
        <f t="shared" ref="C14:E14" si="5">C13*C4</f>
        <v>-66.670000000001906</v>
      </c>
      <c r="D14" s="8">
        <f t="shared" si="5"/>
        <v>2244</v>
      </c>
      <c r="E14" s="19">
        <f t="shared" si="5"/>
        <v>-1583.9999999999995</v>
      </c>
      <c r="F14" s="149"/>
    </row>
    <row r="15" spans="1:13" ht="24" thickBot="1" x14ac:dyDescent="0.5">
      <c r="A15" s="83" t="s">
        <v>101</v>
      </c>
      <c r="B15" s="5">
        <f>((B7)*(B4-B3))</f>
        <v>53.262</v>
      </c>
      <c r="C15" s="5">
        <f>(C7+C13)*(C4-C3)</f>
        <v>0.80099999999999993</v>
      </c>
      <c r="D15" s="5">
        <f>D7*(D4-D3)</f>
        <v>81.100000000000023</v>
      </c>
      <c r="E15" s="15">
        <f>(E7+E13)*(E4-E3)</f>
        <v>0</v>
      </c>
      <c r="F15" s="90"/>
    </row>
    <row r="16" spans="1:13" ht="27" thickTop="1" thickBot="1" x14ac:dyDescent="0.5">
      <c r="A16" s="154" t="s">
        <v>30</v>
      </c>
      <c r="B16" s="30">
        <f>B15+B14</f>
        <v>386.5620000000003</v>
      </c>
      <c r="C16" s="30">
        <f>C15+C14</f>
        <v>-65.869000000001904</v>
      </c>
      <c r="D16" s="30">
        <f t="shared" ref="D16:E16" si="6">D15+D14</f>
        <v>2325.1</v>
      </c>
      <c r="E16" s="48">
        <f t="shared" si="6"/>
        <v>-1583.9999999999995</v>
      </c>
      <c r="F16" s="90" t="s">
        <v>126</v>
      </c>
    </row>
    <row r="17" spans="1:8" ht="25.8" customHeight="1" thickTop="1" x14ac:dyDescent="0.45">
      <c r="A17" s="155" t="s">
        <v>11</v>
      </c>
      <c r="B17" s="7">
        <f>(B18-B9)/B9</f>
        <v>7.2577447335811618E-2</v>
      </c>
      <c r="C17" s="7">
        <f>(C18-C9)/C9</f>
        <v>-1.2184140732199266E-2</v>
      </c>
      <c r="D17" s="7">
        <f t="shared" ref="D17:E17" si="7">(D18-D9)/D9</f>
        <v>0.89592324290998759</v>
      </c>
      <c r="E17" s="49">
        <f t="shared" si="7"/>
        <v>-0.59186189889025864</v>
      </c>
      <c r="F17" s="149" t="s">
        <v>43</v>
      </c>
    </row>
    <row r="18" spans="1:8" ht="26.4" customHeight="1" x14ac:dyDescent="0.3">
      <c r="A18" s="91" t="s">
        <v>13</v>
      </c>
      <c r="B18" s="8">
        <f>B16+B9</f>
        <v>5712.7620000000006</v>
      </c>
      <c r="C18" s="8">
        <f>C16+C9</f>
        <v>5340.2569999999996</v>
      </c>
      <c r="D18" s="8">
        <f t="shared" ref="D18:E18" si="8">D16+D9</f>
        <v>4920.3000000000011</v>
      </c>
      <c r="E18" s="19">
        <f t="shared" si="8"/>
        <v>1092.3000000000011</v>
      </c>
      <c r="F18" s="110"/>
    </row>
    <row r="19" spans="1:8" ht="28.2" customHeight="1" thickBot="1" x14ac:dyDescent="0.35">
      <c r="A19" s="156" t="s">
        <v>14</v>
      </c>
      <c r="B19" s="29">
        <f>B7+B13</f>
        <v>0.8570000000000001</v>
      </c>
      <c r="C19" s="29">
        <f>C7+C13</f>
        <v>0.80099999999999993</v>
      </c>
      <c r="D19" s="29">
        <f t="shared" ref="D19:E19" si="9">D7+D13</f>
        <v>0.74550000000000005</v>
      </c>
      <c r="E19" s="40">
        <f t="shared" si="9"/>
        <v>0.16550000000000015</v>
      </c>
      <c r="F19" s="110"/>
    </row>
    <row r="20" spans="1:8" ht="24.6" thickTop="1" thickBot="1" x14ac:dyDescent="0.5">
      <c r="A20" s="157" t="s">
        <v>147</v>
      </c>
      <c r="B20" s="60">
        <f>B10-(B10/B6)+B10*0.025</f>
        <v>7.4647500000000006E-2</v>
      </c>
      <c r="C20" s="60">
        <f>C10-(C10/C6)+C10*0.025</f>
        <v>7.5017500000000001E-2</v>
      </c>
      <c r="D20" s="60">
        <f t="shared" ref="D20:E20" si="10">D10+(D10/D6)-D10*0.025</f>
        <v>8.3127500000000007E-2</v>
      </c>
      <c r="E20" s="60">
        <f t="shared" si="10"/>
        <v>8.3127500000000007E-2</v>
      </c>
      <c r="F20" s="78" t="s">
        <v>41</v>
      </c>
    </row>
    <row r="21" spans="1:8" ht="29.4" thickTop="1" x14ac:dyDescent="0.3">
      <c r="A21" s="158" t="s">
        <v>22</v>
      </c>
      <c r="B21" s="159">
        <f>(B10*B5*0.0005)*B3+(B11*B5*0.0005)*B4</f>
        <v>53.694959999999995</v>
      </c>
      <c r="C21" s="159">
        <f t="shared" ref="C21:E21" si="11">(C10*C5*0.0005)*C3+(C11*C5*0.0005)*C4</f>
        <v>54.031980000000004</v>
      </c>
      <c r="D21" s="159">
        <f t="shared" si="11"/>
        <v>51.593000000000004</v>
      </c>
      <c r="E21" s="160">
        <f t="shared" si="11"/>
        <v>54.317999999999998</v>
      </c>
      <c r="F21" s="161" t="s">
        <v>84</v>
      </c>
    </row>
    <row r="22" spans="1:8" ht="28.8" x14ac:dyDescent="0.3">
      <c r="A22" s="99" t="s">
        <v>27</v>
      </c>
      <c r="B22" s="162">
        <f>(B10*B5*0.0005)*B3+B11*B5*0.0025*(-1)*B4</f>
        <v>-108.68879999999999</v>
      </c>
      <c r="C22" s="162">
        <f t="shared" ref="C22:E22" si="12">(C10*C5*0.0005)*C3+C11*C5*0.0025*(-1)*C4</f>
        <v>-107.97612000000001</v>
      </c>
      <c r="D22" s="162">
        <f t="shared" si="12"/>
        <v>-102.25300000000001</v>
      </c>
      <c r="E22" s="163">
        <f t="shared" si="12"/>
        <v>-111.012</v>
      </c>
      <c r="F22" s="161" t="s">
        <v>38</v>
      </c>
    </row>
    <row r="23" spans="1:8" ht="28.8" x14ac:dyDescent="0.3">
      <c r="A23" s="99" t="s">
        <v>32</v>
      </c>
      <c r="B23" s="162">
        <f>(B10*B5*0.0005)*B3+B11*B5*0.00225*(-1)*B4</f>
        <v>-95.156819999999982</v>
      </c>
      <c r="C23" s="162">
        <f t="shared" ref="C23:E23" si="13">(C10*C5*0.0005)*C3+C11*C5*0.00225*(-1)*C4</f>
        <v>-94.475444999999979</v>
      </c>
      <c r="D23" s="162">
        <f t="shared" si="13"/>
        <v>-89.43249999999999</v>
      </c>
      <c r="E23" s="163">
        <f t="shared" si="13"/>
        <v>-97.234499999999983</v>
      </c>
      <c r="F23" s="161" t="s">
        <v>85</v>
      </c>
    </row>
    <row r="24" spans="1:8" ht="28.8" x14ac:dyDescent="0.45">
      <c r="A24" s="99" t="s">
        <v>28</v>
      </c>
      <c r="B24" s="162">
        <f>(B10*B5*0.0025)*B3*(-1)+B11*B5*0.0005*B4</f>
        <v>-106.09104000000001</v>
      </c>
      <c r="C24" s="162">
        <f>(C10*C5*0.0025)*C3*(-1)+C11*C5*0.0005*C4</f>
        <v>-108.15180000000004</v>
      </c>
      <c r="D24" s="162">
        <f>(D10*D5*0.0025)*D3*(-1)+D11*D5*0.0005*D4</f>
        <v>-104.11900000000001</v>
      </c>
      <c r="E24" s="163">
        <f>(E10*E5*0.0025)*E3*(-1)+E11*E5*0.0005*E4</f>
        <v>-106.26000000000002</v>
      </c>
      <c r="F24" s="164" t="s">
        <v>40</v>
      </c>
    </row>
    <row r="25" spans="1:8" ht="28.8" x14ac:dyDescent="0.45">
      <c r="A25" s="99" t="s">
        <v>33</v>
      </c>
      <c r="B25" s="162">
        <f>(B10*B5*0.00225)*B3*(-1)+B11*B5*0.0005*B4</f>
        <v>-92.775540000000007</v>
      </c>
      <c r="C25" s="162">
        <f t="shared" ref="C25:E25" si="14">(C10*C5*0.00225)*C3*(-1)+C11*C5*0.0005*C4</f>
        <v>-94.636484999999993</v>
      </c>
      <c r="D25" s="162">
        <f t="shared" si="14"/>
        <v>-91.142999999999986</v>
      </c>
      <c r="E25" s="163">
        <f t="shared" si="14"/>
        <v>-92.878500000000003</v>
      </c>
      <c r="F25" s="164" t="s">
        <v>54</v>
      </c>
    </row>
    <row r="26" spans="1:8" ht="28.8" x14ac:dyDescent="0.45">
      <c r="A26" s="99" t="s">
        <v>29</v>
      </c>
      <c r="B26" s="162">
        <f>(B10*B5*0.0025)*B3*(-1)+B11*B5*0.0025*B4*(-1)</f>
        <v>-268.47479999999996</v>
      </c>
      <c r="C26" s="162">
        <f t="shared" ref="C26:E26" si="15">(C10*C5*0.0025)*C3*(-1)+C11*C5*0.0025*C4*(-1)</f>
        <v>-270.15990000000005</v>
      </c>
      <c r="D26" s="162">
        <f t="shared" si="15"/>
        <v>-257.96500000000003</v>
      </c>
      <c r="E26" s="163">
        <f t="shared" si="15"/>
        <v>-271.59000000000003</v>
      </c>
      <c r="F26" s="165"/>
    </row>
    <row r="27" spans="1:8" ht="29.4" thickBot="1" x14ac:dyDescent="0.5">
      <c r="A27" s="166" t="s">
        <v>34</v>
      </c>
      <c r="B27" s="167">
        <f>(B10*B5*0.00225)*B3*(-1)+B11*B5*0.00225*B4*(-1)</f>
        <v>-241.62732</v>
      </c>
      <c r="C27" s="167">
        <f t="shared" ref="C27:E27" si="16">(C10*C5*0.00225)*C3*(-1)+C11*C5*0.00225*C4*(-1)</f>
        <v>-243.14390999999998</v>
      </c>
      <c r="D27" s="167">
        <f t="shared" si="16"/>
        <v>-232.16849999999999</v>
      </c>
      <c r="E27" s="168">
        <f t="shared" si="16"/>
        <v>-244.43099999999998</v>
      </c>
      <c r="F27" s="165"/>
    </row>
    <row r="28" spans="1:8" ht="26.4" thickTop="1" x14ac:dyDescent="0.45">
      <c r="A28" s="169" t="s">
        <v>31</v>
      </c>
      <c r="B28" s="41">
        <f>B16+B21</f>
        <v>440.25696000000028</v>
      </c>
      <c r="C28" s="42">
        <f>C16+C21</f>
        <v>-11.8370200000019</v>
      </c>
      <c r="D28" s="41">
        <f>D16+D21</f>
        <v>2376.6929999999998</v>
      </c>
      <c r="E28" s="50">
        <f>E16+E21</f>
        <v>-1529.6819999999996</v>
      </c>
      <c r="F28" s="149" t="s">
        <v>86</v>
      </c>
    </row>
    <row r="29" spans="1:8" ht="25.8" x14ac:dyDescent="0.45">
      <c r="A29" s="170" t="s">
        <v>35</v>
      </c>
      <c r="B29" s="171">
        <f>B16+B23</f>
        <v>291.40518000000031</v>
      </c>
      <c r="C29" s="114">
        <f>C16+C23</f>
        <v>-160.34444500000188</v>
      </c>
      <c r="D29" s="171">
        <f>D16+D23</f>
        <v>2235.6675</v>
      </c>
      <c r="E29" s="172">
        <f>E16+E23</f>
        <v>-1681.2344999999996</v>
      </c>
      <c r="F29" s="173"/>
    </row>
    <row r="30" spans="1:8" ht="25.8" x14ac:dyDescent="0.3">
      <c r="A30" s="170" t="s">
        <v>36</v>
      </c>
      <c r="B30" s="171">
        <f>B16+B25</f>
        <v>293.78646000000026</v>
      </c>
      <c r="C30" s="114">
        <f>C16+C25</f>
        <v>-160.5054850000019</v>
      </c>
      <c r="D30" s="171">
        <f>D16+D25</f>
        <v>2233.9569999999999</v>
      </c>
      <c r="E30" s="172">
        <f>E16+E25</f>
        <v>-1676.8784999999996</v>
      </c>
      <c r="F30" s="116" t="s">
        <v>15</v>
      </c>
    </row>
    <row r="31" spans="1:8" ht="26.4" thickBot="1" x14ac:dyDescent="0.35">
      <c r="A31" s="174" t="s">
        <v>37</v>
      </c>
      <c r="B31" s="175">
        <f>B16+B27</f>
        <v>144.9346800000003</v>
      </c>
      <c r="C31" s="176">
        <f>C16+C27</f>
        <v>-309.01291000000185</v>
      </c>
      <c r="D31" s="175">
        <f>D16+D27</f>
        <v>2092.9314999999997</v>
      </c>
      <c r="E31" s="177">
        <f>E16+E27</f>
        <v>-1828.4309999999996</v>
      </c>
      <c r="F31" s="178" t="s">
        <v>75</v>
      </c>
    </row>
    <row r="32" spans="1:8" ht="27" thickTop="1" thickBot="1" x14ac:dyDescent="0.55000000000000004">
      <c r="A32" s="121" t="s">
        <v>16</v>
      </c>
      <c r="B32" s="122" t="s">
        <v>17</v>
      </c>
      <c r="C32" s="121" t="s">
        <v>18</v>
      </c>
      <c r="D32" s="123" t="s">
        <v>19</v>
      </c>
      <c r="E32" s="124"/>
      <c r="F32" s="125" t="s">
        <v>168</v>
      </c>
      <c r="H32" s="65"/>
    </row>
    <row r="33" spans="1:7" ht="30" thickTop="1" thickBot="1" x14ac:dyDescent="0.55000000000000004">
      <c r="A33" s="126" t="s">
        <v>20</v>
      </c>
      <c r="B33" s="127" t="s">
        <v>125</v>
      </c>
      <c r="C33" s="128"/>
      <c r="D33" s="128"/>
      <c r="E33" s="129"/>
      <c r="F33" s="130" t="s">
        <v>87</v>
      </c>
    </row>
    <row r="34" spans="1:7" ht="28.8" customHeight="1" thickTop="1" x14ac:dyDescent="0.5">
      <c r="A34" s="179"/>
      <c r="B34" s="180"/>
      <c r="C34" s="181"/>
      <c r="D34" s="181"/>
      <c r="E34" s="182"/>
      <c r="G34" s="183"/>
    </row>
  </sheetData>
  <sheetProtection algorithmName="SHA-512" hashValue="SUDYimmt/wEBx8QCKHcs+8d0bbds1iMVEcn3w7s7KLV+U2AlzwKn5raiclvsV0SCq668SNSSjTAth1y1HggVMw==" saltValue="JqgO92vR3CsDtlCxX5BeAw==" spinCount="100000" sheet="1" objects="1" scenarios="1"/>
  <hyperlinks>
    <hyperlink ref="D32:E32" r:id="rId1" display="Created by MinistryOfMarginTrading" xr:uid="{8C3DD2DE-6A39-44A6-82FD-5F87D52D01DD}"/>
    <hyperlink ref="D32" r:id="rId2" xr:uid="{052F47F1-1EBE-4FFE-B0A1-ECE84161FBB1}"/>
    <hyperlink ref="F33" r:id="rId3" xr:uid="{3217E91A-9824-4DC1-A88C-84FB1DEC0809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83AD4-6861-426E-A670-8AF824AACAC3}">
  <dimension ref="A1:M34"/>
  <sheetViews>
    <sheetView zoomScale="50" zoomScaleNormal="50" workbookViewId="0">
      <selection activeCell="D13" sqref="D13"/>
    </sheetView>
  </sheetViews>
  <sheetFormatPr defaultRowHeight="14.4" x14ac:dyDescent="0.3"/>
  <cols>
    <col min="1" max="1" width="62.33203125" style="70" customWidth="1"/>
    <col min="2" max="2" width="30.6640625" style="70" customWidth="1"/>
    <col min="3" max="3" width="31.21875" style="70" customWidth="1"/>
    <col min="4" max="4" width="30.21875" style="70" customWidth="1"/>
    <col min="5" max="5" width="32.5546875" style="70" customWidth="1"/>
    <col min="6" max="6" width="143.88671875" style="70" customWidth="1"/>
    <col min="7" max="7" width="22.21875" style="70" customWidth="1"/>
    <col min="8" max="8" width="21.21875" style="70" customWidth="1"/>
    <col min="9" max="16384" width="8.88671875" style="70"/>
  </cols>
  <sheetData>
    <row r="1" spans="1:13" ht="77.400000000000006" customHeight="1" thickTop="1" thickBot="1" x14ac:dyDescent="0.55000000000000004">
      <c r="A1" s="65"/>
      <c r="B1" s="140" t="s">
        <v>23</v>
      </c>
      <c r="C1" s="140" t="s">
        <v>24</v>
      </c>
      <c r="D1" s="140" t="s">
        <v>25</v>
      </c>
      <c r="E1" s="141" t="s">
        <v>26</v>
      </c>
      <c r="F1" s="69" t="s">
        <v>151</v>
      </c>
      <c r="G1" s="142"/>
      <c r="H1" s="143"/>
    </row>
    <row r="2" spans="1:13" ht="25.2" customHeight="1" thickTop="1" thickBot="1" x14ac:dyDescent="0.5">
      <c r="A2" s="144" t="s">
        <v>121</v>
      </c>
      <c r="B2" s="72" t="s">
        <v>133</v>
      </c>
      <c r="C2" s="73" t="s">
        <v>134</v>
      </c>
      <c r="D2" s="74" t="s">
        <v>135</v>
      </c>
      <c r="E2" s="145" t="s">
        <v>136</v>
      </c>
      <c r="F2" s="146" t="s">
        <v>76</v>
      </c>
    </row>
    <row r="3" spans="1:13" ht="25.2" customHeight="1" thickTop="1" thickBot="1" x14ac:dyDescent="0.5">
      <c r="A3" s="147" t="s">
        <v>63</v>
      </c>
      <c r="B3" s="190">
        <v>6600</v>
      </c>
      <c r="C3" s="190">
        <v>6666</v>
      </c>
      <c r="D3" s="190">
        <v>6400</v>
      </c>
      <c r="E3" s="191">
        <v>6600</v>
      </c>
      <c r="F3" s="78" t="s">
        <v>148</v>
      </c>
    </row>
    <row r="4" spans="1:13" ht="27.6" customHeight="1" thickTop="1" thickBot="1" x14ac:dyDescent="0.5">
      <c r="A4" s="148" t="s">
        <v>64</v>
      </c>
      <c r="B4" s="192">
        <v>6666</v>
      </c>
      <c r="C4" s="192">
        <v>6667</v>
      </c>
      <c r="D4" s="192">
        <v>6600</v>
      </c>
      <c r="E4" s="193">
        <v>6600</v>
      </c>
      <c r="F4" s="149"/>
    </row>
    <row r="5" spans="1:13" ht="24" customHeight="1" thickTop="1" thickBot="1" x14ac:dyDescent="0.5">
      <c r="A5" s="148" t="s">
        <v>152</v>
      </c>
      <c r="B5" s="51">
        <v>100000</v>
      </c>
      <c r="C5" s="51">
        <v>100000</v>
      </c>
      <c r="D5" s="51">
        <v>100000</v>
      </c>
      <c r="E5" s="52">
        <v>100000</v>
      </c>
      <c r="F5" s="149" t="s">
        <v>77</v>
      </c>
    </row>
    <row r="6" spans="1:13" ht="24.6" thickTop="1" thickBot="1" x14ac:dyDescent="0.5">
      <c r="A6" s="79" t="s">
        <v>65</v>
      </c>
      <c r="B6" s="23">
        <v>20</v>
      </c>
      <c r="C6" s="23">
        <v>20</v>
      </c>
      <c r="D6" s="23">
        <v>20</v>
      </c>
      <c r="E6" s="43">
        <v>20</v>
      </c>
      <c r="F6" s="149" t="s">
        <v>79</v>
      </c>
    </row>
    <row r="7" spans="1:13" ht="24" thickTop="1" x14ac:dyDescent="0.45">
      <c r="A7" s="150" t="s">
        <v>105</v>
      </c>
      <c r="B7" s="34">
        <f>(B10*B5)/B6</f>
        <v>6.6449999999999995E-2</v>
      </c>
      <c r="C7" s="34">
        <f t="shared" ref="C7:E7" si="0">(C10*C5)/C6</f>
        <v>6.6650000000000001E-2</v>
      </c>
      <c r="D7" s="33">
        <f t="shared" si="0"/>
        <v>1.6649999999999998E-2</v>
      </c>
      <c r="E7" s="44">
        <f t="shared" si="0"/>
        <v>1.6649999999999998E-2</v>
      </c>
      <c r="F7" s="149" t="s">
        <v>44</v>
      </c>
    </row>
    <row r="8" spans="1:13" ht="23.4" x14ac:dyDescent="0.45">
      <c r="A8" s="82" t="s">
        <v>4</v>
      </c>
      <c r="B8" s="28">
        <f>B10*B5</f>
        <v>1.329</v>
      </c>
      <c r="C8" s="28">
        <f t="shared" ref="C8:E8" si="1">C10*C5</f>
        <v>1.333</v>
      </c>
      <c r="D8" s="3">
        <f t="shared" si="1"/>
        <v>0.33299999999999996</v>
      </c>
      <c r="E8" s="13">
        <f t="shared" si="1"/>
        <v>0.33299999999999996</v>
      </c>
      <c r="F8" s="149" t="s">
        <v>46</v>
      </c>
      <c r="H8" s="151"/>
    </row>
    <row r="9" spans="1:13" ht="24" thickBot="1" x14ac:dyDescent="0.5">
      <c r="A9" s="152" t="s">
        <v>108</v>
      </c>
      <c r="B9" s="38">
        <f>B7*B3</f>
        <v>438.57</v>
      </c>
      <c r="C9" s="35">
        <f t="shared" ref="C9:E9" si="2">C7*C3</f>
        <v>444.28890000000001</v>
      </c>
      <c r="D9" s="32">
        <f t="shared" si="2"/>
        <v>106.55999999999999</v>
      </c>
      <c r="E9" s="45">
        <f t="shared" si="2"/>
        <v>109.88999999999999</v>
      </c>
      <c r="F9" s="149" t="s">
        <v>70</v>
      </c>
    </row>
    <row r="10" spans="1:13" ht="24.6" thickTop="1" thickBot="1" x14ac:dyDescent="0.5">
      <c r="A10" s="84" t="s">
        <v>153</v>
      </c>
      <c r="B10" s="25">
        <v>1.329E-5</v>
      </c>
      <c r="C10" s="25">
        <v>1.3329999999999999E-5</v>
      </c>
      <c r="D10" s="25">
        <v>3.3299999999999999E-6</v>
      </c>
      <c r="E10" s="46">
        <v>3.3299999999999999E-6</v>
      </c>
      <c r="F10" s="149" t="s">
        <v>71</v>
      </c>
    </row>
    <row r="11" spans="1:13" ht="24.6" thickTop="1" thickBot="1" x14ac:dyDescent="0.5">
      <c r="A11" s="85" t="s">
        <v>154</v>
      </c>
      <c r="B11" s="26">
        <v>1.399E-5</v>
      </c>
      <c r="C11" s="26">
        <v>1.311E-5</v>
      </c>
      <c r="D11" s="26">
        <v>2.2199999999999999E-6</v>
      </c>
      <c r="E11" s="46">
        <v>3.3400000000000002E-6</v>
      </c>
      <c r="F11" s="149" t="s">
        <v>72</v>
      </c>
    </row>
    <row r="12" spans="1:13" ht="24" thickTop="1" x14ac:dyDescent="0.45">
      <c r="A12" s="86" t="s">
        <v>155</v>
      </c>
      <c r="B12" s="7">
        <f>(B11-B10)/B10</f>
        <v>5.2671181339352904E-2</v>
      </c>
      <c r="C12" s="31">
        <f t="shared" ref="C12:E12" si="3">(C11-C10)/C10</f>
        <v>-1.6504126031507846E-2</v>
      </c>
      <c r="D12" s="7">
        <f t="shared" si="3"/>
        <v>-0.33333333333333331</v>
      </c>
      <c r="E12" s="47">
        <f t="shared" si="3"/>
        <v>3.0030030030031014E-3</v>
      </c>
      <c r="F12" s="149" t="s">
        <v>73</v>
      </c>
    </row>
    <row r="13" spans="1:13" ht="23.4" x14ac:dyDescent="0.45">
      <c r="A13" s="82" t="s">
        <v>99</v>
      </c>
      <c r="B13" s="4">
        <f>(B11-B10)*B5</f>
        <v>7.0000000000000007E-2</v>
      </c>
      <c r="C13" s="4">
        <f t="shared" ref="C13" si="4">(C11-C10)*C5</f>
        <v>-2.1999999999999957E-2</v>
      </c>
      <c r="D13" s="4">
        <f>(D10-D11)*D5</f>
        <v>0.111</v>
      </c>
      <c r="E13" s="14">
        <f>(E10-E11)*E5</f>
        <v>-1.0000000000000328E-3</v>
      </c>
      <c r="F13" s="149" t="s">
        <v>78</v>
      </c>
      <c r="M13" s="153"/>
    </row>
    <row r="14" spans="1:13" ht="23.4" x14ac:dyDescent="0.45">
      <c r="A14" s="87" t="s">
        <v>100</v>
      </c>
      <c r="B14" s="8">
        <f>B13*B4</f>
        <v>466.62000000000006</v>
      </c>
      <c r="C14" s="8">
        <f t="shared" ref="C14:E14" si="5">C13*C4</f>
        <v>-146.67399999999972</v>
      </c>
      <c r="D14" s="8">
        <f t="shared" si="5"/>
        <v>732.6</v>
      </c>
      <c r="E14" s="19">
        <f t="shared" si="5"/>
        <v>-6.6000000000002164</v>
      </c>
      <c r="F14" s="149"/>
    </row>
    <row r="15" spans="1:13" ht="24" thickBot="1" x14ac:dyDescent="0.5">
      <c r="A15" s="83" t="s">
        <v>101</v>
      </c>
      <c r="B15" s="5">
        <f>((B7)*(B4-B3))</f>
        <v>4.3856999999999999</v>
      </c>
      <c r="C15" s="5">
        <f>(C7+C13)*(C4-C3)</f>
        <v>4.4650000000000044E-2</v>
      </c>
      <c r="D15" s="5">
        <f>D7*(D4-D3)</f>
        <v>3.3299999999999996</v>
      </c>
      <c r="E15" s="15">
        <f>(E7+E13)*(E4-E3)</f>
        <v>0</v>
      </c>
      <c r="F15" s="90"/>
    </row>
    <row r="16" spans="1:13" ht="27" thickTop="1" thickBot="1" x14ac:dyDescent="0.5">
      <c r="A16" s="154" t="s">
        <v>30</v>
      </c>
      <c r="B16" s="30">
        <f>B15+B14</f>
        <v>471.00570000000005</v>
      </c>
      <c r="C16" s="30">
        <f>C15+C14</f>
        <v>-146.62934999999973</v>
      </c>
      <c r="D16" s="30">
        <f t="shared" ref="D16:E16" si="6">D15+D14</f>
        <v>735.93000000000006</v>
      </c>
      <c r="E16" s="48">
        <f t="shared" si="6"/>
        <v>-6.6000000000002164</v>
      </c>
      <c r="F16" s="90" t="s">
        <v>161</v>
      </c>
    </row>
    <row r="17" spans="1:8" ht="25.8" customHeight="1" thickTop="1" x14ac:dyDescent="0.45">
      <c r="A17" s="155" t="s">
        <v>11</v>
      </c>
      <c r="B17" s="7">
        <f>(B18-B9)/B9</f>
        <v>1.0739578630549287</v>
      </c>
      <c r="C17" s="7">
        <f>(C18-C9)/C9</f>
        <v>-0.33003154028831172</v>
      </c>
      <c r="D17" s="7">
        <f t="shared" ref="D17:E17" si="7">(D18-D9)/D9</f>
        <v>6.9062500000000018</v>
      </c>
      <c r="E17" s="49">
        <f t="shared" si="7"/>
        <v>-6.0060060060062086E-2</v>
      </c>
      <c r="F17" s="149" t="s">
        <v>43</v>
      </c>
    </row>
    <row r="18" spans="1:8" ht="26.4" customHeight="1" x14ac:dyDescent="0.3">
      <c r="A18" s="91" t="s">
        <v>13</v>
      </c>
      <c r="B18" s="8">
        <f>B16+B9</f>
        <v>909.5757000000001</v>
      </c>
      <c r="C18" s="8">
        <f>C16+C9</f>
        <v>297.65955000000031</v>
      </c>
      <c r="D18" s="8">
        <f t="shared" ref="D18:E18" si="8">D16+D9</f>
        <v>842.49</v>
      </c>
      <c r="E18" s="19">
        <f t="shared" si="8"/>
        <v>103.28999999999976</v>
      </c>
      <c r="F18" s="110"/>
    </row>
    <row r="19" spans="1:8" ht="28.2" customHeight="1" thickBot="1" x14ac:dyDescent="0.35">
      <c r="A19" s="156" t="s">
        <v>14</v>
      </c>
      <c r="B19" s="29">
        <f>B7+B13</f>
        <v>0.13645000000000002</v>
      </c>
      <c r="C19" s="29">
        <f>C7+C13</f>
        <v>4.4650000000000044E-2</v>
      </c>
      <c r="D19" s="29">
        <f t="shared" ref="D19:E19" si="9">D7+D13</f>
        <v>0.12764999999999999</v>
      </c>
      <c r="E19" s="40">
        <f t="shared" si="9"/>
        <v>1.5649999999999966E-2</v>
      </c>
      <c r="F19" s="110"/>
    </row>
    <row r="20" spans="1:8" ht="24.6" thickTop="1" thickBot="1" x14ac:dyDescent="0.5">
      <c r="A20" s="157" t="s">
        <v>12</v>
      </c>
      <c r="B20" s="39">
        <f>B10-(B10/B6)+B10*0.025</f>
        <v>1.295775E-5</v>
      </c>
      <c r="C20" s="39">
        <f>C10-(C10/C6)+C10*0.025</f>
        <v>1.2996750000000001E-5</v>
      </c>
      <c r="D20" s="39">
        <f t="shared" ref="D20:E20" si="10">D10+(D10/D6)-D10*0.025</f>
        <v>3.4132499999999999E-6</v>
      </c>
      <c r="E20" s="39">
        <f t="shared" si="10"/>
        <v>3.4132499999999999E-6</v>
      </c>
      <c r="F20" s="78" t="s">
        <v>41</v>
      </c>
    </row>
    <row r="21" spans="1:8" ht="29.4" thickTop="1" x14ac:dyDescent="0.3">
      <c r="A21" s="158" t="s">
        <v>22</v>
      </c>
      <c r="B21" s="159">
        <f>(B10*B5*0.0005)*B3+(B11*B5*0.0005)*B4</f>
        <v>9.0485670000000002</v>
      </c>
      <c r="C21" s="159">
        <f t="shared" ref="C21:E21" si="11">(C10*C5*0.0005)*C3+(C11*C5*0.0005)*C4</f>
        <v>8.813107500000001</v>
      </c>
      <c r="D21" s="159">
        <f t="shared" si="11"/>
        <v>1.7982</v>
      </c>
      <c r="E21" s="160">
        <f t="shared" si="11"/>
        <v>2.2011000000000003</v>
      </c>
      <c r="F21" s="161" t="s">
        <v>84</v>
      </c>
    </row>
    <row r="22" spans="1:8" ht="28.8" x14ac:dyDescent="0.3">
      <c r="A22" s="99" t="s">
        <v>27</v>
      </c>
      <c r="B22" s="162">
        <f>(B10*B5*0.0005)*B3+B11*B5*0.0025*(-1)*B4</f>
        <v>-18.928635</v>
      </c>
      <c r="C22" s="162">
        <f t="shared" ref="C22:E22" si="12">(C10*C5*0.0005)*C3+C11*C5*0.0025*(-1)*C4</f>
        <v>-17.408203499999999</v>
      </c>
      <c r="D22" s="162">
        <f t="shared" si="12"/>
        <v>-2.5974000000000004</v>
      </c>
      <c r="E22" s="163">
        <f t="shared" si="12"/>
        <v>-4.4121000000000006</v>
      </c>
      <c r="F22" s="161" t="s">
        <v>38</v>
      </c>
    </row>
    <row r="23" spans="1:8" ht="28.8" x14ac:dyDescent="0.3">
      <c r="A23" s="99" t="s">
        <v>32</v>
      </c>
      <c r="B23" s="162">
        <f>(B10*B5*0.0005)*B3+B11*B5*0.00225*(-1)*B4</f>
        <v>-16.597201500000001</v>
      </c>
      <c r="C23" s="162">
        <f t="shared" ref="C23:E23" si="13">(C10*C5*0.0005)*C3+C11*C5*0.00225*(-1)*C4</f>
        <v>-15.223094249999995</v>
      </c>
      <c r="D23" s="162">
        <f t="shared" si="13"/>
        <v>-2.2310999999999996</v>
      </c>
      <c r="E23" s="163">
        <f t="shared" si="13"/>
        <v>-3.8610000000000002</v>
      </c>
      <c r="F23" s="161" t="s">
        <v>85</v>
      </c>
    </row>
    <row r="24" spans="1:8" ht="28.8" x14ac:dyDescent="0.45">
      <c r="A24" s="99" t="s">
        <v>28</v>
      </c>
      <c r="B24" s="162">
        <f>(B10*B5*0.0025)*B3*(-1)+B11*B5*0.0005*B4</f>
        <v>-17.265633000000001</v>
      </c>
      <c r="C24" s="162">
        <f>(C10*C5*0.0025)*C3*(-1)+C11*C5*0.0005*C4</f>
        <v>-17.844226500000001</v>
      </c>
      <c r="D24" s="162">
        <f>(D10*D5*0.0025)*D3*(-1)+D11*D5*0.0005*D4</f>
        <v>-4.5953999999999997</v>
      </c>
      <c r="E24" s="163">
        <f>(E10*E5*0.0025)*E3*(-1)+E11*E5*0.0005*E4</f>
        <v>-4.3922999999999996</v>
      </c>
      <c r="F24" s="164" t="s">
        <v>40</v>
      </c>
    </row>
    <row r="25" spans="1:8" ht="28.8" x14ac:dyDescent="0.45">
      <c r="A25" s="99" t="s">
        <v>33</v>
      </c>
      <c r="B25" s="162">
        <f>(B10*B5*0.00225)*B3*(-1)+B11*B5*0.0005*B4</f>
        <v>-15.072782999999999</v>
      </c>
      <c r="C25" s="162">
        <f t="shared" ref="C25:E25" si="14">(C10*C5*0.00225)*C3*(-1)+C11*C5*0.0005*C4</f>
        <v>-15.622781999999997</v>
      </c>
      <c r="D25" s="162">
        <f t="shared" si="14"/>
        <v>-4.0625999999999989</v>
      </c>
      <c r="E25" s="163">
        <f t="shared" si="14"/>
        <v>-3.8428499999999985</v>
      </c>
      <c r="F25" s="164" t="s">
        <v>54</v>
      </c>
    </row>
    <row r="26" spans="1:8" ht="28.8" x14ac:dyDescent="0.45">
      <c r="A26" s="99" t="s">
        <v>29</v>
      </c>
      <c r="B26" s="162">
        <f>(B10*B5*0.0025)*B3*(-1)+B11*B5*0.0025*B4*(-1)</f>
        <v>-45.242834999999999</v>
      </c>
      <c r="C26" s="162">
        <f t="shared" ref="C26:E26" si="15">(C10*C5*0.0025)*C3*(-1)+C11*C5*0.0025*C4*(-1)</f>
        <v>-44.065537500000005</v>
      </c>
      <c r="D26" s="162">
        <f t="shared" si="15"/>
        <v>-8.9909999999999997</v>
      </c>
      <c r="E26" s="163">
        <f t="shared" si="15"/>
        <v>-11.0055</v>
      </c>
      <c r="F26" s="165"/>
    </row>
    <row r="27" spans="1:8" ht="29.4" thickBot="1" x14ac:dyDescent="0.5">
      <c r="A27" s="166" t="s">
        <v>34</v>
      </c>
      <c r="B27" s="167">
        <f>(B10*B5*0.00225)*B3*(-1)+B11*B5*0.00225*B4*(-1)</f>
        <v>-40.718551500000004</v>
      </c>
      <c r="C27" s="167">
        <f t="shared" ref="C27:E27" si="16">(C10*C5*0.00225)*C3*(-1)+C11*C5*0.00225*C4*(-1)</f>
        <v>-39.65898374999999</v>
      </c>
      <c r="D27" s="167">
        <f t="shared" si="16"/>
        <v>-8.091899999999999</v>
      </c>
      <c r="E27" s="168">
        <f t="shared" si="16"/>
        <v>-9.9049499999999995</v>
      </c>
      <c r="F27" s="165"/>
    </row>
    <row r="28" spans="1:8" ht="26.4" thickTop="1" x14ac:dyDescent="0.45">
      <c r="A28" s="169" t="s">
        <v>31</v>
      </c>
      <c r="B28" s="41">
        <f>B16+B21</f>
        <v>480.05426700000004</v>
      </c>
      <c r="C28" s="42">
        <f>C16+C21</f>
        <v>-137.81624249999973</v>
      </c>
      <c r="D28" s="41">
        <f>D16+D21</f>
        <v>737.72820000000002</v>
      </c>
      <c r="E28" s="50">
        <f>E16+E21</f>
        <v>-4.3989000000002161</v>
      </c>
      <c r="F28" s="149" t="s">
        <v>86</v>
      </c>
    </row>
    <row r="29" spans="1:8" ht="25.8" x14ac:dyDescent="0.45">
      <c r="A29" s="170" t="s">
        <v>35</v>
      </c>
      <c r="B29" s="171">
        <f>B16+B23</f>
        <v>454.40849850000006</v>
      </c>
      <c r="C29" s="114">
        <f>C16+C23</f>
        <v>-161.85244424999973</v>
      </c>
      <c r="D29" s="171">
        <f>D16+D23</f>
        <v>733.69890000000009</v>
      </c>
      <c r="E29" s="172">
        <f>E16+E23</f>
        <v>-10.461000000000217</v>
      </c>
      <c r="F29" s="173"/>
    </row>
    <row r="30" spans="1:8" ht="25.8" x14ac:dyDescent="0.3">
      <c r="A30" s="170" t="s">
        <v>36</v>
      </c>
      <c r="B30" s="171">
        <f>B16+B25</f>
        <v>455.93291700000003</v>
      </c>
      <c r="C30" s="114">
        <f>C16+C25</f>
        <v>-162.25213199999973</v>
      </c>
      <c r="D30" s="171">
        <f>D16+D25</f>
        <v>731.86740000000009</v>
      </c>
      <c r="E30" s="172">
        <f>E16+E25</f>
        <v>-10.442850000000215</v>
      </c>
      <c r="F30" s="116" t="s">
        <v>15</v>
      </c>
    </row>
    <row r="31" spans="1:8" ht="26.4" thickBot="1" x14ac:dyDescent="0.35">
      <c r="A31" s="174" t="s">
        <v>37</v>
      </c>
      <c r="B31" s="175">
        <f>B16+B27</f>
        <v>430.28714850000006</v>
      </c>
      <c r="C31" s="176">
        <f>C16+C27</f>
        <v>-186.28833374999971</v>
      </c>
      <c r="D31" s="175">
        <f>D16+D27</f>
        <v>727.83810000000005</v>
      </c>
      <c r="E31" s="177">
        <f>E16+E27</f>
        <v>-16.504950000000214</v>
      </c>
      <c r="F31" s="178" t="s">
        <v>75</v>
      </c>
    </row>
    <row r="32" spans="1:8" ht="27" thickTop="1" thickBot="1" x14ac:dyDescent="0.55000000000000004">
      <c r="A32" s="121" t="s">
        <v>16</v>
      </c>
      <c r="B32" s="122" t="s">
        <v>17</v>
      </c>
      <c r="C32" s="121" t="s">
        <v>18</v>
      </c>
      <c r="D32" s="123" t="s">
        <v>19</v>
      </c>
      <c r="E32" s="124"/>
      <c r="F32" s="125" t="s">
        <v>168</v>
      </c>
      <c r="H32" s="65"/>
    </row>
    <row r="33" spans="1:7" ht="30" thickTop="1" thickBot="1" x14ac:dyDescent="0.55000000000000004">
      <c r="A33" s="126" t="s">
        <v>20</v>
      </c>
      <c r="B33" s="127" t="s">
        <v>125</v>
      </c>
      <c r="C33" s="128"/>
      <c r="D33" s="128"/>
      <c r="E33" s="129"/>
      <c r="F33" s="130" t="s">
        <v>87</v>
      </c>
    </row>
    <row r="34" spans="1:7" ht="28.8" customHeight="1" thickTop="1" x14ac:dyDescent="0.5">
      <c r="A34" s="179"/>
      <c r="B34" s="180"/>
      <c r="C34" s="181"/>
      <c r="D34" s="181"/>
      <c r="E34" s="182"/>
      <c r="G34" s="183"/>
    </row>
  </sheetData>
  <sheetProtection algorithmName="SHA-512" hashValue="wzZ1T6WjIzuFC2zPzG/ZVxxnjLA6j6Bx9RhojC/XixptT2JuAS+rAEjEkV3VB72Z26OUkvswlm/NdkDWGu8J7Q==" saltValue="BLd5cx0bCwX9UQqSaMDAng==" spinCount="100000" sheet="1" objects="1" scenarios="1"/>
  <hyperlinks>
    <hyperlink ref="D32:E32" r:id="rId1" display="Created by MinistryOfMarginTrading" xr:uid="{69ED00B0-60F9-4C41-ADCE-250331C29DA0}"/>
    <hyperlink ref="D32" r:id="rId2" xr:uid="{75F7B6DD-6A96-43C5-BA47-040D99AFCCC7}"/>
    <hyperlink ref="F33" r:id="rId3" xr:uid="{DB252312-7E02-448E-8A7D-E21044737A13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C907B-2276-452C-B089-C93C0C7F5712}">
  <dimension ref="A1:M34"/>
  <sheetViews>
    <sheetView zoomScale="50" zoomScaleNormal="50" workbookViewId="0">
      <selection activeCell="F24" sqref="F24"/>
    </sheetView>
  </sheetViews>
  <sheetFormatPr defaultRowHeight="14.4" x14ac:dyDescent="0.3"/>
  <cols>
    <col min="1" max="1" width="62.33203125" style="70" customWidth="1"/>
    <col min="2" max="2" width="30.6640625" style="70" customWidth="1"/>
    <col min="3" max="3" width="31.21875" style="70" customWidth="1"/>
    <col min="4" max="4" width="30.21875" style="70" customWidth="1"/>
    <col min="5" max="5" width="32.5546875" style="70" customWidth="1"/>
    <col min="6" max="6" width="143.88671875" style="70" customWidth="1"/>
    <col min="7" max="7" width="22.21875" style="70" customWidth="1"/>
    <col min="8" max="8" width="21.21875" style="70" customWidth="1"/>
    <col min="9" max="16384" width="8.88671875" style="70"/>
  </cols>
  <sheetData>
    <row r="1" spans="1:13" ht="77.400000000000006" customHeight="1" thickTop="1" thickBot="1" x14ac:dyDescent="0.55000000000000004">
      <c r="A1" s="65"/>
      <c r="B1" s="140" t="s">
        <v>23</v>
      </c>
      <c r="C1" s="140" t="s">
        <v>24</v>
      </c>
      <c r="D1" s="140" t="s">
        <v>25</v>
      </c>
      <c r="E1" s="141" t="s">
        <v>26</v>
      </c>
      <c r="F1" s="69" t="s">
        <v>129</v>
      </c>
      <c r="G1" s="142"/>
      <c r="H1" s="143"/>
    </row>
    <row r="2" spans="1:13" ht="25.2" customHeight="1" thickTop="1" thickBot="1" x14ac:dyDescent="0.5">
      <c r="A2" s="144" t="s">
        <v>121</v>
      </c>
      <c r="B2" s="72" t="s">
        <v>133</v>
      </c>
      <c r="C2" s="73" t="s">
        <v>134</v>
      </c>
      <c r="D2" s="74" t="s">
        <v>135</v>
      </c>
      <c r="E2" s="145" t="s">
        <v>136</v>
      </c>
      <c r="F2" s="146" t="s">
        <v>76</v>
      </c>
    </row>
    <row r="3" spans="1:13" ht="25.2" customHeight="1" thickTop="1" thickBot="1" x14ac:dyDescent="0.5">
      <c r="A3" s="147" t="s">
        <v>63</v>
      </c>
      <c r="B3" s="190">
        <v>6600</v>
      </c>
      <c r="C3" s="190">
        <v>6666</v>
      </c>
      <c r="D3" s="190">
        <v>6400</v>
      </c>
      <c r="E3" s="191">
        <v>6600</v>
      </c>
      <c r="F3" s="78" t="s">
        <v>148</v>
      </c>
    </row>
    <row r="4" spans="1:13" ht="27.6" customHeight="1" thickTop="1" thickBot="1" x14ac:dyDescent="0.5">
      <c r="A4" s="148" t="s">
        <v>64</v>
      </c>
      <c r="B4" s="192">
        <v>6666</v>
      </c>
      <c r="C4" s="192">
        <v>6667</v>
      </c>
      <c r="D4" s="192">
        <v>6600</v>
      </c>
      <c r="E4" s="193">
        <v>6600</v>
      </c>
      <c r="F4" s="149"/>
    </row>
    <row r="5" spans="1:13" ht="24" customHeight="1" thickTop="1" thickBot="1" x14ac:dyDescent="0.5">
      <c r="A5" s="148" t="s">
        <v>130</v>
      </c>
      <c r="B5" s="51">
        <v>100000</v>
      </c>
      <c r="C5" s="51">
        <v>100000</v>
      </c>
      <c r="D5" s="51">
        <v>100000</v>
      </c>
      <c r="E5" s="52">
        <v>100000</v>
      </c>
      <c r="F5" s="149" t="s">
        <v>77</v>
      </c>
    </row>
    <row r="6" spans="1:13" ht="24.6" thickTop="1" thickBot="1" x14ac:dyDescent="0.5">
      <c r="A6" s="79" t="s">
        <v>65</v>
      </c>
      <c r="B6" s="23">
        <v>5</v>
      </c>
      <c r="C6" s="23">
        <v>10</v>
      </c>
      <c r="D6" s="23">
        <v>20</v>
      </c>
      <c r="E6" s="43">
        <v>20</v>
      </c>
      <c r="F6" s="149" t="s">
        <v>79</v>
      </c>
    </row>
    <row r="7" spans="1:13" ht="24" thickTop="1" x14ac:dyDescent="0.45">
      <c r="A7" s="150" t="s">
        <v>105</v>
      </c>
      <c r="B7" s="34">
        <f>(B10*B5)/B6</f>
        <v>7.9999999999999988E-2</v>
      </c>
      <c r="C7" s="34">
        <f t="shared" ref="C7:E7" si="0">(C10*C5)/C6</f>
        <v>3.3299999999999996E-2</v>
      </c>
      <c r="D7" s="33">
        <f t="shared" si="0"/>
        <v>1.6649999999999998E-2</v>
      </c>
      <c r="E7" s="44">
        <f t="shared" si="0"/>
        <v>1.6649999999999998E-2</v>
      </c>
      <c r="F7" s="149" t="s">
        <v>44</v>
      </c>
    </row>
    <row r="8" spans="1:13" ht="23.4" x14ac:dyDescent="0.45">
      <c r="A8" s="82" t="s">
        <v>4</v>
      </c>
      <c r="B8" s="28">
        <f>B10*B5</f>
        <v>0.39999999999999997</v>
      </c>
      <c r="C8" s="28">
        <f t="shared" ref="C8:E8" si="1">C10*C5</f>
        <v>0.33299999999999996</v>
      </c>
      <c r="D8" s="3">
        <f t="shared" si="1"/>
        <v>0.33299999999999996</v>
      </c>
      <c r="E8" s="13">
        <f t="shared" si="1"/>
        <v>0.33299999999999996</v>
      </c>
      <c r="F8" s="149" t="s">
        <v>46</v>
      </c>
      <c r="H8" s="151"/>
    </row>
    <row r="9" spans="1:13" ht="24" thickBot="1" x14ac:dyDescent="0.5">
      <c r="A9" s="152" t="s">
        <v>108</v>
      </c>
      <c r="B9" s="38">
        <f>B7*B3</f>
        <v>527.99999999999989</v>
      </c>
      <c r="C9" s="35">
        <f t="shared" ref="C9:E9" si="2">C7*C3</f>
        <v>221.97779999999997</v>
      </c>
      <c r="D9" s="32">
        <f t="shared" si="2"/>
        <v>106.55999999999999</v>
      </c>
      <c r="E9" s="45">
        <f t="shared" si="2"/>
        <v>109.88999999999999</v>
      </c>
      <c r="F9" s="149" t="s">
        <v>70</v>
      </c>
    </row>
    <row r="10" spans="1:13" ht="24.6" thickTop="1" thickBot="1" x14ac:dyDescent="0.5">
      <c r="A10" s="84" t="s">
        <v>131</v>
      </c>
      <c r="B10" s="25">
        <v>3.9999999999999998E-6</v>
      </c>
      <c r="C10" s="25">
        <v>3.3299999999999999E-6</v>
      </c>
      <c r="D10" s="25">
        <v>3.3299999999999999E-6</v>
      </c>
      <c r="E10" s="46">
        <v>3.3299999999999999E-6</v>
      </c>
      <c r="F10" s="149" t="s">
        <v>71</v>
      </c>
    </row>
    <row r="11" spans="1:13" ht="24.6" thickTop="1" thickBot="1" x14ac:dyDescent="0.5">
      <c r="A11" s="85" t="s">
        <v>132</v>
      </c>
      <c r="B11" s="26">
        <v>4.4399999999999998E-6</v>
      </c>
      <c r="C11" s="26">
        <v>3.2200000000000001E-6</v>
      </c>
      <c r="D11" s="26">
        <v>2.2199999999999999E-6</v>
      </c>
      <c r="E11" s="46">
        <v>3.3400000000000002E-6</v>
      </c>
      <c r="F11" s="149" t="s">
        <v>72</v>
      </c>
    </row>
    <row r="12" spans="1:13" ht="24" thickTop="1" x14ac:dyDescent="0.45">
      <c r="A12" s="86" t="s">
        <v>137</v>
      </c>
      <c r="B12" s="7">
        <f>(B11-B10)/B10</f>
        <v>0.11000000000000001</v>
      </c>
      <c r="C12" s="31">
        <f t="shared" ref="C12:E12" si="3">(C11-C10)/C10</f>
        <v>-3.3033033033032976E-2</v>
      </c>
      <c r="D12" s="7">
        <f t="shared" si="3"/>
        <v>-0.33333333333333331</v>
      </c>
      <c r="E12" s="47">
        <f t="shared" si="3"/>
        <v>3.0030030030031014E-3</v>
      </c>
      <c r="F12" s="149" t="s">
        <v>73</v>
      </c>
    </row>
    <row r="13" spans="1:13" ht="23.4" x14ac:dyDescent="0.45">
      <c r="A13" s="82" t="s">
        <v>99</v>
      </c>
      <c r="B13" s="4">
        <f>(B11-B10)*B5</f>
        <v>4.4000000000000004E-2</v>
      </c>
      <c r="C13" s="4">
        <f t="shared" ref="C13" si="4">(C11-C10)*C5</f>
        <v>-1.0999999999999979E-2</v>
      </c>
      <c r="D13" s="4">
        <f>(D10-D11)*D5</f>
        <v>0.111</v>
      </c>
      <c r="E13" s="14">
        <f>(E10-E11)*E5</f>
        <v>-1.0000000000000328E-3</v>
      </c>
      <c r="F13" s="149" t="s">
        <v>78</v>
      </c>
      <c r="M13" s="153"/>
    </row>
    <row r="14" spans="1:13" ht="23.4" x14ac:dyDescent="0.45">
      <c r="A14" s="87" t="s">
        <v>100</v>
      </c>
      <c r="B14" s="8">
        <f>B13*B4</f>
        <v>293.30400000000003</v>
      </c>
      <c r="C14" s="8">
        <f t="shared" ref="C14:E14" si="5">C13*C4</f>
        <v>-73.336999999999861</v>
      </c>
      <c r="D14" s="8">
        <f t="shared" si="5"/>
        <v>732.6</v>
      </c>
      <c r="E14" s="19">
        <f t="shared" si="5"/>
        <v>-6.6000000000002164</v>
      </c>
      <c r="F14" s="149"/>
    </row>
    <row r="15" spans="1:13" ht="24" thickBot="1" x14ac:dyDescent="0.5">
      <c r="A15" s="83" t="s">
        <v>101</v>
      </c>
      <c r="B15" s="5">
        <f>((B7)*(B4-B3))</f>
        <v>5.2799999999999994</v>
      </c>
      <c r="C15" s="5">
        <f>(C7+C13)*(C4-C3)</f>
        <v>2.2300000000000018E-2</v>
      </c>
      <c r="D15" s="5">
        <f>D7*(D4-D3)</f>
        <v>3.3299999999999996</v>
      </c>
      <c r="E15" s="15">
        <f>(E7+E13)*(E4-E3)</f>
        <v>0</v>
      </c>
      <c r="F15" s="90"/>
    </row>
    <row r="16" spans="1:13" ht="27" thickTop="1" thickBot="1" x14ac:dyDescent="0.5">
      <c r="A16" s="154" t="s">
        <v>30</v>
      </c>
      <c r="B16" s="30">
        <f>B15+B14</f>
        <v>298.584</v>
      </c>
      <c r="C16" s="30">
        <f>C15+C14</f>
        <v>-73.31469999999986</v>
      </c>
      <c r="D16" s="30">
        <f t="shared" ref="D16:E16" si="6">D15+D14</f>
        <v>735.93000000000006</v>
      </c>
      <c r="E16" s="48">
        <f t="shared" si="6"/>
        <v>-6.6000000000002164</v>
      </c>
      <c r="F16" s="90" t="s">
        <v>126</v>
      </c>
    </row>
    <row r="17" spans="1:8" ht="25.8" customHeight="1" thickTop="1" x14ac:dyDescent="0.45">
      <c r="A17" s="155" t="s">
        <v>11</v>
      </c>
      <c r="B17" s="7">
        <f>(B18-B9)/B9</f>
        <v>0.5655</v>
      </c>
      <c r="C17" s="7">
        <f>(C18-C9)/C9</f>
        <v>-0.33027942433882973</v>
      </c>
      <c r="D17" s="7">
        <f t="shared" ref="D17:E17" si="7">(D18-D9)/D9</f>
        <v>6.9062500000000018</v>
      </c>
      <c r="E17" s="49">
        <f t="shared" si="7"/>
        <v>-6.0060060060062086E-2</v>
      </c>
      <c r="F17" s="149" t="s">
        <v>43</v>
      </c>
    </row>
    <row r="18" spans="1:8" ht="26.4" customHeight="1" x14ac:dyDescent="0.3">
      <c r="A18" s="91" t="s">
        <v>13</v>
      </c>
      <c r="B18" s="8">
        <f>B16+B9</f>
        <v>826.58399999999983</v>
      </c>
      <c r="C18" s="8">
        <f>C16+C9</f>
        <v>148.6631000000001</v>
      </c>
      <c r="D18" s="8">
        <f t="shared" ref="D18:E18" si="8">D16+D9</f>
        <v>842.49</v>
      </c>
      <c r="E18" s="19">
        <f t="shared" si="8"/>
        <v>103.28999999999976</v>
      </c>
      <c r="F18" s="110"/>
    </row>
    <row r="19" spans="1:8" ht="28.2" customHeight="1" thickBot="1" x14ac:dyDescent="0.35">
      <c r="A19" s="156" t="s">
        <v>14</v>
      </c>
      <c r="B19" s="29">
        <f>B7+B13</f>
        <v>0.124</v>
      </c>
      <c r="C19" s="29">
        <f>C7+C13</f>
        <v>2.2300000000000018E-2</v>
      </c>
      <c r="D19" s="29">
        <f t="shared" ref="D19:E19" si="9">D7+D13</f>
        <v>0.12764999999999999</v>
      </c>
      <c r="E19" s="40">
        <f t="shared" si="9"/>
        <v>1.5649999999999966E-2</v>
      </c>
      <c r="F19" s="110"/>
    </row>
    <row r="20" spans="1:8" ht="24.6" thickTop="1" thickBot="1" x14ac:dyDescent="0.5">
      <c r="A20" s="157" t="s">
        <v>12</v>
      </c>
      <c r="B20" s="39">
        <f>B10-(B10/B6)+B10*0.025</f>
        <v>3.2999999999999997E-6</v>
      </c>
      <c r="C20" s="39">
        <f>C10-(C10/C6)+C10*0.025</f>
        <v>3.0802499999999999E-6</v>
      </c>
      <c r="D20" s="39">
        <f t="shared" ref="D20:E20" si="10">D10+(D10/D6)-D10*0.025</f>
        <v>3.4132499999999999E-6</v>
      </c>
      <c r="E20" s="39">
        <f t="shared" si="10"/>
        <v>3.4132499999999999E-6</v>
      </c>
      <c r="F20" s="78" t="s">
        <v>41</v>
      </c>
    </row>
    <row r="21" spans="1:8" ht="29.4" thickTop="1" x14ac:dyDescent="0.3">
      <c r="A21" s="158" t="s">
        <v>22</v>
      </c>
      <c r="B21" s="159">
        <f>(B10*B5*0.0005)*B3+(B11*B5*0.0005)*B4</f>
        <v>2.7998519999999996</v>
      </c>
      <c r="C21" s="159">
        <f t="shared" ref="C21:E21" si="11">(C10*C5*0.0005)*C3+(C11*C5*0.0005)*C4</f>
        <v>2.1832760000000002</v>
      </c>
      <c r="D21" s="159">
        <f t="shared" si="11"/>
        <v>1.7982</v>
      </c>
      <c r="E21" s="160">
        <f t="shared" si="11"/>
        <v>2.2011000000000003</v>
      </c>
      <c r="F21" s="161" t="s">
        <v>84</v>
      </c>
    </row>
    <row r="22" spans="1:8" ht="28.8" x14ac:dyDescent="0.3">
      <c r="A22" s="99" t="s">
        <v>27</v>
      </c>
      <c r="B22" s="162">
        <f>(B10*B5*0.0005)*B3+B11*B5*0.0025*(-1)*B4</f>
        <v>-6.0792600000000014</v>
      </c>
      <c r="C22" s="162">
        <f t="shared" ref="C22:E22" si="12">(C10*C5*0.0005)*C3+C11*C5*0.0025*(-1)*C4</f>
        <v>-4.2570460000000008</v>
      </c>
      <c r="D22" s="162">
        <f t="shared" si="12"/>
        <v>-2.5974000000000004</v>
      </c>
      <c r="E22" s="163">
        <f t="shared" si="12"/>
        <v>-4.4121000000000006</v>
      </c>
      <c r="F22" s="161" t="s">
        <v>38</v>
      </c>
    </row>
    <row r="23" spans="1:8" ht="28.8" x14ac:dyDescent="0.3">
      <c r="A23" s="99" t="s">
        <v>32</v>
      </c>
      <c r="B23" s="162">
        <f>(B10*B5*0.0005)*B3+B11*B5*0.00225*(-1)*B4</f>
        <v>-5.3393339999999991</v>
      </c>
      <c r="C23" s="162">
        <f t="shared" ref="C23:E23" si="13">(C10*C5*0.0005)*C3+C11*C5*0.00225*(-1)*C4</f>
        <v>-3.7203524999999997</v>
      </c>
      <c r="D23" s="162">
        <f t="shared" si="13"/>
        <v>-2.2310999999999996</v>
      </c>
      <c r="E23" s="163">
        <f t="shared" si="13"/>
        <v>-3.8610000000000002</v>
      </c>
      <c r="F23" s="161" t="s">
        <v>85</v>
      </c>
    </row>
    <row r="24" spans="1:8" ht="28.8" x14ac:dyDescent="0.45">
      <c r="A24" s="99" t="s">
        <v>28</v>
      </c>
      <c r="B24" s="162">
        <f>(B10*B5*0.0025)*B3*(-1)+B11*B5*0.0005*B4</f>
        <v>-5.1201480000000004</v>
      </c>
      <c r="C24" s="162">
        <f>(C10*C5*0.0025)*C3*(-1)+C11*C5*0.0005*C4</f>
        <v>-4.4760579999999992</v>
      </c>
      <c r="D24" s="162">
        <f>(D10*D5*0.0025)*D3*(-1)+D11*D5*0.0005*D4</f>
        <v>-4.5953999999999997</v>
      </c>
      <c r="E24" s="163">
        <f>(E10*E5*0.0025)*E3*(-1)+E11*E5*0.0005*E4</f>
        <v>-4.3922999999999996</v>
      </c>
      <c r="F24" s="164" t="s">
        <v>40</v>
      </c>
    </row>
    <row r="25" spans="1:8" ht="28.8" x14ac:dyDescent="0.45">
      <c r="A25" s="99" t="s">
        <v>33</v>
      </c>
      <c r="B25" s="162">
        <f>(B10*B5*0.00225)*B3*(-1)+B11*B5*0.0005*B4</f>
        <v>-4.4601479999999993</v>
      </c>
      <c r="C25" s="162">
        <f t="shared" ref="C25:E25" si="14">(C10*C5*0.00225)*C3*(-1)+C11*C5*0.0005*C4</f>
        <v>-3.9211134999999988</v>
      </c>
      <c r="D25" s="162">
        <f t="shared" si="14"/>
        <v>-4.0625999999999989</v>
      </c>
      <c r="E25" s="163">
        <f t="shared" si="14"/>
        <v>-3.8428499999999985</v>
      </c>
      <c r="F25" s="164" t="s">
        <v>54</v>
      </c>
    </row>
    <row r="26" spans="1:8" ht="28.8" x14ac:dyDescent="0.45">
      <c r="A26" s="99" t="s">
        <v>29</v>
      </c>
      <c r="B26" s="162">
        <f>(B10*B5*0.0025)*B3*(-1)+B11*B5*0.0025*B4*(-1)</f>
        <v>-13.999260000000001</v>
      </c>
      <c r="C26" s="162">
        <f t="shared" ref="C26:E26" si="15">(C10*C5*0.0025)*C3*(-1)+C11*C5*0.0025*C4*(-1)</f>
        <v>-10.91638</v>
      </c>
      <c r="D26" s="162">
        <f t="shared" si="15"/>
        <v>-8.9909999999999997</v>
      </c>
      <c r="E26" s="163">
        <f t="shared" si="15"/>
        <v>-11.0055</v>
      </c>
      <c r="F26" s="165"/>
    </row>
    <row r="27" spans="1:8" ht="29.4" thickBot="1" x14ac:dyDescent="0.5">
      <c r="A27" s="166" t="s">
        <v>34</v>
      </c>
      <c r="B27" s="167">
        <f>(B10*B5*0.00225)*B3*(-1)+B11*B5*0.00225*B4*(-1)</f>
        <v>-12.599333999999999</v>
      </c>
      <c r="C27" s="167">
        <f t="shared" ref="C27:E27" si="16">(C10*C5*0.00225)*C3*(-1)+C11*C5*0.00225*C4*(-1)</f>
        <v>-9.8247419999999988</v>
      </c>
      <c r="D27" s="167">
        <f t="shared" si="16"/>
        <v>-8.091899999999999</v>
      </c>
      <c r="E27" s="168">
        <f t="shared" si="16"/>
        <v>-9.9049499999999995</v>
      </c>
      <c r="F27" s="165"/>
    </row>
    <row r="28" spans="1:8" ht="26.4" thickTop="1" x14ac:dyDescent="0.45">
      <c r="A28" s="169" t="s">
        <v>31</v>
      </c>
      <c r="B28" s="41">
        <f>B16+B21</f>
        <v>301.38385199999999</v>
      </c>
      <c r="C28" s="42">
        <f>C16+C21</f>
        <v>-71.131423999999853</v>
      </c>
      <c r="D28" s="41">
        <f>D16+D21</f>
        <v>737.72820000000002</v>
      </c>
      <c r="E28" s="50">
        <f>E16+E21</f>
        <v>-4.3989000000002161</v>
      </c>
      <c r="F28" s="149" t="s">
        <v>86</v>
      </c>
    </row>
    <row r="29" spans="1:8" ht="25.8" x14ac:dyDescent="0.45">
      <c r="A29" s="170" t="s">
        <v>35</v>
      </c>
      <c r="B29" s="171">
        <f>B16+B23</f>
        <v>293.244666</v>
      </c>
      <c r="C29" s="114">
        <f>C16+C23</f>
        <v>-77.035052499999864</v>
      </c>
      <c r="D29" s="171">
        <f>D16+D23</f>
        <v>733.69890000000009</v>
      </c>
      <c r="E29" s="172">
        <f>E16+E23</f>
        <v>-10.461000000000217</v>
      </c>
      <c r="F29" s="173"/>
    </row>
    <row r="30" spans="1:8" ht="25.8" x14ac:dyDescent="0.3">
      <c r="A30" s="170" t="s">
        <v>36</v>
      </c>
      <c r="B30" s="171">
        <f>B16+B25</f>
        <v>294.123852</v>
      </c>
      <c r="C30" s="114">
        <f>C16+C25</f>
        <v>-77.235813499999864</v>
      </c>
      <c r="D30" s="171">
        <f>D16+D25</f>
        <v>731.86740000000009</v>
      </c>
      <c r="E30" s="172">
        <f>E16+E25</f>
        <v>-10.442850000000215</v>
      </c>
      <c r="F30" s="116" t="s">
        <v>15</v>
      </c>
    </row>
    <row r="31" spans="1:8" ht="26.4" thickBot="1" x14ac:dyDescent="0.35">
      <c r="A31" s="174" t="s">
        <v>37</v>
      </c>
      <c r="B31" s="175">
        <f>B16+B27</f>
        <v>285.984666</v>
      </c>
      <c r="C31" s="176">
        <f>C16+C27</f>
        <v>-83.13944199999986</v>
      </c>
      <c r="D31" s="175">
        <f>D16+D27</f>
        <v>727.83810000000005</v>
      </c>
      <c r="E31" s="177">
        <f>E16+E27</f>
        <v>-16.504950000000214</v>
      </c>
      <c r="F31" s="178" t="s">
        <v>75</v>
      </c>
    </row>
    <row r="32" spans="1:8" ht="27" thickTop="1" thickBot="1" x14ac:dyDescent="0.55000000000000004">
      <c r="A32" s="121" t="s">
        <v>16</v>
      </c>
      <c r="B32" s="122" t="s">
        <v>17</v>
      </c>
      <c r="C32" s="121" t="s">
        <v>18</v>
      </c>
      <c r="D32" s="123" t="s">
        <v>19</v>
      </c>
      <c r="E32" s="124"/>
      <c r="F32" s="125" t="s">
        <v>168</v>
      </c>
      <c r="H32" s="65"/>
    </row>
    <row r="33" spans="1:7" ht="30" thickTop="1" thickBot="1" x14ac:dyDescent="0.55000000000000004">
      <c r="A33" s="126" t="s">
        <v>20</v>
      </c>
      <c r="B33" s="127" t="s">
        <v>125</v>
      </c>
      <c r="C33" s="128"/>
      <c r="D33" s="128"/>
      <c r="E33" s="129"/>
      <c r="F33" s="130" t="s">
        <v>87</v>
      </c>
    </row>
    <row r="34" spans="1:7" ht="28.8" customHeight="1" thickTop="1" x14ac:dyDescent="0.5">
      <c r="A34" s="179"/>
      <c r="B34" s="180"/>
      <c r="C34" s="181"/>
      <c r="D34" s="181"/>
      <c r="E34" s="182"/>
      <c r="G34" s="183"/>
    </row>
  </sheetData>
  <sheetProtection algorithmName="SHA-512" hashValue="46jDziEKm4TRc6E+C4nRZVKNFjVeDUV053tOxHNWYUrVJF0CxvvLYCL8Y+7NOLc6K3QKYRgq71uWu1gh8U22Mw==" saltValue="y6fPmNfuNeR6b9QEX2c9Bg==" spinCount="100000" sheet="1" objects="1" scenarios="1"/>
  <hyperlinks>
    <hyperlink ref="D32:E32" r:id="rId1" display="Created by MinistryOfMarginTrading" xr:uid="{4EC21187-7378-4B95-BB74-84BDEF8B9D72}"/>
    <hyperlink ref="D32" r:id="rId2" xr:uid="{17A07B33-9D64-45A3-B3EC-9B74AC0DEDFF}"/>
    <hyperlink ref="F33" r:id="rId3" xr:uid="{90F8CEAA-AE3B-4649-BF76-7B9E85E8F51F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A3D7-369A-47A0-94F5-A739B1ED6C47}">
  <dimension ref="A1:M34"/>
  <sheetViews>
    <sheetView zoomScale="50" zoomScaleNormal="50" workbookViewId="0">
      <selection activeCell="D14" sqref="D14"/>
    </sheetView>
  </sheetViews>
  <sheetFormatPr defaultRowHeight="14.4" x14ac:dyDescent="0.3"/>
  <cols>
    <col min="1" max="1" width="62.33203125" style="70" customWidth="1"/>
    <col min="2" max="2" width="30.6640625" style="70" customWidth="1"/>
    <col min="3" max="3" width="31.21875" style="70" customWidth="1"/>
    <col min="4" max="4" width="30.21875" style="70" customWidth="1"/>
    <col min="5" max="5" width="32.5546875" style="70" customWidth="1"/>
    <col min="6" max="6" width="143.88671875" style="70" customWidth="1"/>
    <col min="7" max="7" width="22.21875" style="70" customWidth="1"/>
    <col min="8" max="8" width="21.21875" style="70" customWidth="1"/>
    <col min="9" max="16384" width="8.88671875" style="70"/>
  </cols>
  <sheetData>
    <row r="1" spans="1:13" ht="77.400000000000006" customHeight="1" thickTop="1" thickBot="1" x14ac:dyDescent="0.55000000000000004">
      <c r="A1" s="65"/>
      <c r="B1" s="140" t="s">
        <v>23</v>
      </c>
      <c r="C1" s="140" t="s">
        <v>24</v>
      </c>
      <c r="D1" s="140" t="s">
        <v>25</v>
      </c>
      <c r="E1" s="141" t="s">
        <v>26</v>
      </c>
      <c r="F1" s="69" t="s">
        <v>156</v>
      </c>
      <c r="G1" s="142"/>
      <c r="H1" s="143"/>
    </row>
    <row r="2" spans="1:13" ht="25.2" customHeight="1" thickTop="1" thickBot="1" x14ac:dyDescent="0.5">
      <c r="A2" s="144" t="s">
        <v>121</v>
      </c>
      <c r="B2" s="72" t="s">
        <v>133</v>
      </c>
      <c r="C2" s="73" t="s">
        <v>134</v>
      </c>
      <c r="D2" s="74" t="s">
        <v>135</v>
      </c>
      <c r="E2" s="145" t="s">
        <v>136</v>
      </c>
      <c r="F2" s="146" t="s">
        <v>76</v>
      </c>
    </row>
    <row r="3" spans="1:13" ht="25.2" customHeight="1" thickTop="1" thickBot="1" x14ac:dyDescent="0.5">
      <c r="A3" s="147" t="s">
        <v>63</v>
      </c>
      <c r="B3" s="190">
        <v>6600</v>
      </c>
      <c r="C3" s="190">
        <v>6600</v>
      </c>
      <c r="D3" s="190">
        <v>6600</v>
      </c>
      <c r="E3" s="191">
        <v>6600</v>
      </c>
      <c r="F3" s="78" t="s">
        <v>160</v>
      </c>
    </row>
    <row r="4" spans="1:13" ht="27.6" customHeight="1" thickTop="1" thickBot="1" x14ac:dyDescent="0.5">
      <c r="A4" s="148" t="s">
        <v>64</v>
      </c>
      <c r="B4" s="192">
        <v>6666</v>
      </c>
      <c r="C4" s="192">
        <v>6666</v>
      </c>
      <c r="D4" s="192">
        <v>6666</v>
      </c>
      <c r="E4" s="193">
        <v>6666</v>
      </c>
      <c r="F4" s="149"/>
    </row>
    <row r="5" spans="1:13" ht="24" customHeight="1" thickTop="1" thickBot="1" x14ac:dyDescent="0.5">
      <c r="A5" s="148" t="s">
        <v>167</v>
      </c>
      <c r="B5" s="51">
        <v>5000</v>
      </c>
      <c r="C5" s="51">
        <v>5000</v>
      </c>
      <c r="D5" s="51">
        <v>5000</v>
      </c>
      <c r="E5" s="52">
        <v>5000</v>
      </c>
      <c r="F5" s="149" t="s">
        <v>77</v>
      </c>
    </row>
    <row r="6" spans="1:13" ht="24.6" thickTop="1" thickBot="1" x14ac:dyDescent="0.5">
      <c r="A6" s="79" t="s">
        <v>65</v>
      </c>
      <c r="B6" s="23">
        <v>5</v>
      </c>
      <c r="C6" s="23">
        <v>5</v>
      </c>
      <c r="D6" s="23">
        <v>5</v>
      </c>
      <c r="E6" s="43">
        <v>5</v>
      </c>
      <c r="F6" s="149" t="s">
        <v>79</v>
      </c>
    </row>
    <row r="7" spans="1:13" ht="24" thickTop="1" x14ac:dyDescent="0.45">
      <c r="A7" s="150" t="s">
        <v>105</v>
      </c>
      <c r="B7" s="34">
        <f>(B10*B5)/B6</f>
        <v>0.91109999999999991</v>
      </c>
      <c r="C7" s="34">
        <f t="shared" ref="C7:E7" si="0">(C10*C5)/C6</f>
        <v>0.91109999999999991</v>
      </c>
      <c r="D7" s="33">
        <f t="shared" si="0"/>
        <v>0.91109999999999991</v>
      </c>
      <c r="E7" s="44">
        <f t="shared" si="0"/>
        <v>0.91220000000000001</v>
      </c>
      <c r="F7" s="149" t="s">
        <v>44</v>
      </c>
    </row>
    <row r="8" spans="1:13" ht="23.4" x14ac:dyDescent="0.45">
      <c r="A8" s="82" t="s">
        <v>4</v>
      </c>
      <c r="B8" s="28">
        <f>B10*B5</f>
        <v>4.5554999999999994</v>
      </c>
      <c r="C8" s="28">
        <f t="shared" ref="C8:E8" si="1">C10*C5</f>
        <v>4.5554999999999994</v>
      </c>
      <c r="D8" s="3">
        <f t="shared" si="1"/>
        <v>4.5554999999999994</v>
      </c>
      <c r="E8" s="13">
        <f t="shared" si="1"/>
        <v>4.5609999999999999</v>
      </c>
      <c r="F8" s="149" t="s">
        <v>46</v>
      </c>
      <c r="H8" s="151"/>
    </row>
    <row r="9" spans="1:13" ht="24" thickBot="1" x14ac:dyDescent="0.5">
      <c r="A9" s="152" t="s">
        <v>108</v>
      </c>
      <c r="B9" s="38">
        <f>B7*B3</f>
        <v>6013.2599999999993</v>
      </c>
      <c r="C9" s="35">
        <f t="shared" ref="C9:E9" si="2">C7*C3</f>
        <v>6013.2599999999993</v>
      </c>
      <c r="D9" s="32">
        <f t="shared" si="2"/>
        <v>6013.2599999999993</v>
      </c>
      <c r="E9" s="45">
        <f t="shared" si="2"/>
        <v>6020.52</v>
      </c>
      <c r="F9" s="149" t="s">
        <v>70</v>
      </c>
    </row>
    <row r="10" spans="1:13" ht="24.6" thickTop="1" thickBot="1" x14ac:dyDescent="0.5">
      <c r="A10" s="84" t="s">
        <v>158</v>
      </c>
      <c r="B10" s="62">
        <v>9.1109999999999997E-4</v>
      </c>
      <c r="C10" s="62">
        <v>9.1109999999999997E-4</v>
      </c>
      <c r="D10" s="62">
        <v>9.1109999999999997E-4</v>
      </c>
      <c r="E10" s="63">
        <v>9.1219999999999995E-4</v>
      </c>
      <c r="F10" s="149" t="s">
        <v>71</v>
      </c>
    </row>
    <row r="11" spans="1:13" ht="24.6" thickTop="1" thickBot="1" x14ac:dyDescent="0.5">
      <c r="A11" s="85" t="s">
        <v>157</v>
      </c>
      <c r="B11" s="64">
        <v>9.2219999999999997E-4</v>
      </c>
      <c r="C11" s="64">
        <v>8.9999999999999998E-4</v>
      </c>
      <c r="D11" s="64">
        <v>8.8880000000000003E-4</v>
      </c>
      <c r="E11" s="63">
        <v>9.2219999999999997E-4</v>
      </c>
      <c r="F11" s="149" t="s">
        <v>72</v>
      </c>
    </row>
    <row r="12" spans="1:13" ht="24" thickTop="1" x14ac:dyDescent="0.45">
      <c r="A12" s="86" t="s">
        <v>159</v>
      </c>
      <c r="B12" s="7">
        <f>(B11-B10)/B10</f>
        <v>1.2183075403358577E-2</v>
      </c>
      <c r="C12" s="31">
        <f t="shared" ref="C12:E12" si="3">(C11-C10)/C10</f>
        <v>-1.2183075403358577E-2</v>
      </c>
      <c r="D12" s="7">
        <f t="shared" si="3"/>
        <v>-2.4475908242783388E-2</v>
      </c>
      <c r="E12" s="47">
        <f t="shared" si="3"/>
        <v>1.0962508221881195E-2</v>
      </c>
      <c r="F12" s="149" t="s">
        <v>73</v>
      </c>
    </row>
    <row r="13" spans="1:13" ht="23.4" x14ac:dyDescent="0.45">
      <c r="A13" s="82" t="s">
        <v>99</v>
      </c>
      <c r="B13" s="4">
        <f>(B11-B10)*B5</f>
        <v>5.5499999999999994E-2</v>
      </c>
      <c r="C13" s="4">
        <f t="shared" ref="C13" si="4">(C11-C10)*C5</f>
        <v>-5.5499999999999994E-2</v>
      </c>
      <c r="D13" s="4">
        <f>(D10-D11)*D5</f>
        <v>0.11149999999999972</v>
      </c>
      <c r="E13" s="14">
        <f>(E10-E11)*E5</f>
        <v>-5.0000000000000128E-2</v>
      </c>
      <c r="F13" s="149" t="s">
        <v>78</v>
      </c>
      <c r="M13" s="153"/>
    </row>
    <row r="14" spans="1:13" ht="23.4" x14ac:dyDescent="0.45">
      <c r="A14" s="87" t="s">
        <v>100</v>
      </c>
      <c r="B14" s="8">
        <f>B13*B4</f>
        <v>369.96299999999997</v>
      </c>
      <c r="C14" s="8">
        <f t="shared" ref="C14:E14" si="5">C13*C4</f>
        <v>-369.96299999999997</v>
      </c>
      <c r="D14" s="8">
        <f t="shared" si="5"/>
        <v>743.2589999999982</v>
      </c>
      <c r="E14" s="19">
        <f t="shared" si="5"/>
        <v>-333.30000000000086</v>
      </c>
      <c r="F14" s="149"/>
    </row>
    <row r="15" spans="1:13" ht="24" thickBot="1" x14ac:dyDescent="0.5">
      <c r="A15" s="83" t="s">
        <v>101</v>
      </c>
      <c r="B15" s="5">
        <f>((B7)*(B4-B3))</f>
        <v>60.132599999999996</v>
      </c>
      <c r="C15" s="5">
        <f>(C7+C13)*(C4-C3)</f>
        <v>56.469599999999993</v>
      </c>
      <c r="D15" s="5">
        <f>D7*(D4-D3)</f>
        <v>60.132599999999996</v>
      </c>
      <c r="E15" s="15">
        <f>(E7+E13)*(E4-E3)</f>
        <v>56.905199999999994</v>
      </c>
      <c r="F15" s="90"/>
    </row>
    <row r="16" spans="1:13" ht="27" thickTop="1" thickBot="1" x14ac:dyDescent="0.5">
      <c r="A16" s="154" t="s">
        <v>30</v>
      </c>
      <c r="B16" s="30">
        <f>B15+B14</f>
        <v>430.09559999999999</v>
      </c>
      <c r="C16" s="30">
        <f>C15+C14</f>
        <v>-313.49339999999995</v>
      </c>
      <c r="D16" s="30">
        <f t="shared" ref="D16:E16" si="6">D15+D14</f>
        <v>803.39159999999822</v>
      </c>
      <c r="E16" s="48">
        <f t="shared" si="6"/>
        <v>-276.39480000000088</v>
      </c>
      <c r="F16" s="90" t="s">
        <v>126</v>
      </c>
    </row>
    <row r="17" spans="1:8" ht="25.8" customHeight="1" thickTop="1" x14ac:dyDescent="0.45">
      <c r="A17" s="155" t="s">
        <v>11</v>
      </c>
      <c r="B17" s="7">
        <f>(B18-B9)/B9</f>
        <v>7.1524530786960763E-2</v>
      </c>
      <c r="C17" s="7">
        <f>(C18-C9)/C9</f>
        <v>-5.2133684557128801E-2</v>
      </c>
      <c r="D17" s="7">
        <f t="shared" ref="D17:E17" si="7">(D18-D9)/D9</f>
        <v>0.13360333662605611</v>
      </c>
      <c r="E17" s="49">
        <f t="shared" si="7"/>
        <v>-4.5908791931594105E-2</v>
      </c>
      <c r="F17" s="149" t="s">
        <v>43</v>
      </c>
    </row>
    <row r="18" spans="1:8" ht="26.4" customHeight="1" x14ac:dyDescent="0.3">
      <c r="A18" s="91" t="s">
        <v>13</v>
      </c>
      <c r="B18" s="8">
        <f>B16+B9</f>
        <v>6443.355599999999</v>
      </c>
      <c r="C18" s="8">
        <f>C16+C9</f>
        <v>5699.766599999999</v>
      </c>
      <c r="D18" s="8">
        <f t="shared" ref="D18:E18" si="8">D16+D9</f>
        <v>6816.6515999999974</v>
      </c>
      <c r="E18" s="19">
        <f t="shared" si="8"/>
        <v>5744.1251999999995</v>
      </c>
      <c r="F18" s="110"/>
    </row>
    <row r="19" spans="1:8" ht="28.2" customHeight="1" thickBot="1" x14ac:dyDescent="0.35">
      <c r="A19" s="156" t="s">
        <v>14</v>
      </c>
      <c r="B19" s="29">
        <f>B7+B13</f>
        <v>0.9665999999999999</v>
      </c>
      <c r="C19" s="29">
        <f>C7+C13</f>
        <v>0.85559999999999992</v>
      </c>
      <c r="D19" s="29">
        <f t="shared" ref="D19:E19" si="9">D7+D13</f>
        <v>1.0225999999999997</v>
      </c>
      <c r="E19" s="40">
        <f t="shared" si="9"/>
        <v>0.86219999999999986</v>
      </c>
      <c r="F19" s="110"/>
    </row>
    <row r="20" spans="1:8" ht="24.6" thickTop="1" thickBot="1" x14ac:dyDescent="0.5">
      <c r="A20" s="157" t="s">
        <v>12</v>
      </c>
      <c r="B20" s="61">
        <f>B10-(B10/B6)+B10*0.025</f>
        <v>7.5165750000000004E-4</v>
      </c>
      <c r="C20" s="61">
        <f>C10-(C10/C6)+C10*0.025</f>
        <v>7.5165750000000004E-4</v>
      </c>
      <c r="D20" s="61">
        <f t="shared" ref="D20:E20" si="10">D10+(D10/D6)-D10*0.025</f>
        <v>1.0705425E-3</v>
      </c>
      <c r="E20" s="61">
        <f t="shared" si="10"/>
        <v>1.0718349999999999E-3</v>
      </c>
      <c r="F20" s="78" t="s">
        <v>41</v>
      </c>
    </row>
    <row r="21" spans="1:8" ht="29.4" thickTop="1" x14ac:dyDescent="0.3">
      <c r="A21" s="158" t="s">
        <v>22</v>
      </c>
      <c r="B21" s="159">
        <f>(B10*B5*0.0005)*B3+(B11*B5*0.0005)*B4</f>
        <v>30.401612999999998</v>
      </c>
      <c r="C21" s="159">
        <f t="shared" ref="C21:E21" si="11">(C10*C5*0.0005)*C3+(C11*C5*0.0005)*C4</f>
        <v>30.031649999999999</v>
      </c>
      <c r="D21" s="159">
        <f t="shared" si="11"/>
        <v>29.845002000000001</v>
      </c>
      <c r="E21" s="160">
        <f t="shared" si="11"/>
        <v>30.419762999999996</v>
      </c>
      <c r="F21" s="161" t="s">
        <v>84</v>
      </c>
    </row>
    <row r="22" spans="1:8" ht="28.8" x14ac:dyDescent="0.3">
      <c r="A22" s="99" t="s">
        <v>27</v>
      </c>
      <c r="B22" s="162">
        <f>(B10*B5*0.0005)*B3+B11*B5*0.0025*(-1)*B4</f>
        <v>-61.809165</v>
      </c>
      <c r="C22" s="162">
        <f t="shared" ref="C22:E22" si="12">(C10*C5*0.0005)*C3+C11*C5*0.0025*(-1)*C4</f>
        <v>-59.959349999999993</v>
      </c>
      <c r="D22" s="162">
        <f t="shared" si="12"/>
        <v>-59.026109999999996</v>
      </c>
      <c r="E22" s="163">
        <f t="shared" si="12"/>
        <v>-61.791015000000002</v>
      </c>
      <c r="F22" s="161" t="s">
        <v>38</v>
      </c>
    </row>
    <row r="23" spans="1:8" ht="28.8" x14ac:dyDescent="0.3">
      <c r="A23" s="99" t="s">
        <v>32</v>
      </c>
      <c r="B23" s="162">
        <f>(B10*B5*0.0005)*B3+B11*B5*0.00225*(-1)*B4</f>
        <v>-54.12493349999999</v>
      </c>
      <c r="C23" s="162">
        <f t="shared" ref="C23:E23" si="13">(C10*C5*0.0005)*C3+C11*C5*0.00225*(-1)*C4</f>
        <v>-52.46009999999999</v>
      </c>
      <c r="D23" s="162">
        <f t="shared" si="13"/>
        <v>-51.620184000000002</v>
      </c>
      <c r="E23" s="163">
        <f t="shared" si="13"/>
        <v>-54.106783499999992</v>
      </c>
      <c r="F23" s="161" t="s">
        <v>85</v>
      </c>
    </row>
    <row r="24" spans="1:8" ht="28.8" x14ac:dyDescent="0.45">
      <c r="A24" s="99" t="s">
        <v>28</v>
      </c>
      <c r="B24" s="162">
        <f>(B10*B5*0.0025)*B3*(-1)+B11*B5*0.0005*B4</f>
        <v>-59.797287000000004</v>
      </c>
      <c r="C24" s="162">
        <f>(C10*C5*0.0025)*C3*(-1)+C11*C5*0.0005*C4</f>
        <v>-60.167250000000003</v>
      </c>
      <c r="D24" s="162">
        <f>(D10*D5*0.0025)*D3*(-1)+D11*D5*0.0005*D4</f>
        <v>-60.353898000000001</v>
      </c>
      <c r="E24" s="163">
        <f>(E10*E5*0.0025)*E3*(-1)+E11*E5*0.0005*E4</f>
        <v>-59.888037000000004</v>
      </c>
      <c r="F24" s="164" t="s">
        <v>40</v>
      </c>
    </row>
    <row r="25" spans="1:8" ht="28.8" x14ac:dyDescent="0.45">
      <c r="A25" s="99" t="s">
        <v>33</v>
      </c>
      <c r="B25" s="162">
        <f>(B10*B5*0.00225)*B3*(-1)+B11*B5*0.0005*B4</f>
        <v>-52.280711999999987</v>
      </c>
      <c r="C25" s="162">
        <f t="shared" ref="C25:E25" si="14">(C10*C5*0.00225)*C3*(-1)+C11*C5*0.0005*C4</f>
        <v>-52.650674999999985</v>
      </c>
      <c r="D25" s="162">
        <f t="shared" si="14"/>
        <v>-52.837322999999984</v>
      </c>
      <c r="E25" s="163">
        <f t="shared" si="14"/>
        <v>-52.362386999999991</v>
      </c>
      <c r="F25" s="164" t="s">
        <v>54</v>
      </c>
    </row>
    <row r="26" spans="1:8" ht="28.8" x14ac:dyDescent="0.45">
      <c r="A26" s="99" t="s">
        <v>29</v>
      </c>
      <c r="B26" s="162">
        <f>(B10*B5*0.0025)*B3*(-1)+B11*B5*0.0025*B4*(-1)</f>
        <v>-152.00806499999999</v>
      </c>
      <c r="C26" s="162">
        <f t="shared" ref="C26:E26" si="15">(C10*C5*0.0025)*C3*(-1)+C11*C5*0.0025*C4*(-1)</f>
        <v>-150.15825000000001</v>
      </c>
      <c r="D26" s="162">
        <f t="shared" si="15"/>
        <v>-149.22501</v>
      </c>
      <c r="E26" s="163">
        <f t="shared" si="15"/>
        <v>-152.098815</v>
      </c>
      <c r="F26" s="165"/>
    </row>
    <row r="27" spans="1:8" ht="29.4" thickBot="1" x14ac:dyDescent="0.5">
      <c r="A27" s="166" t="s">
        <v>34</v>
      </c>
      <c r="B27" s="167">
        <f>(B10*B5*0.00225)*B3*(-1)+B11*B5*0.00225*B4*(-1)</f>
        <v>-136.80725849999999</v>
      </c>
      <c r="C27" s="167">
        <f t="shared" ref="C27:E27" si="16">(C10*C5*0.00225)*C3*(-1)+C11*C5*0.00225*C4*(-1)</f>
        <v>-135.14242499999997</v>
      </c>
      <c r="D27" s="167">
        <f t="shared" si="16"/>
        <v>-134.30250899999999</v>
      </c>
      <c r="E27" s="168">
        <f t="shared" si="16"/>
        <v>-136.88893349999998</v>
      </c>
      <c r="F27" s="165"/>
    </row>
    <row r="28" spans="1:8" ht="26.4" thickTop="1" x14ac:dyDescent="0.45">
      <c r="A28" s="169" t="s">
        <v>31</v>
      </c>
      <c r="B28" s="41">
        <f>B16+B21</f>
        <v>460.49721299999999</v>
      </c>
      <c r="C28" s="42">
        <f>C16+C21</f>
        <v>-283.46174999999994</v>
      </c>
      <c r="D28" s="41">
        <f>D16+D21</f>
        <v>833.23660199999824</v>
      </c>
      <c r="E28" s="50">
        <f>E16+E21</f>
        <v>-245.9750370000009</v>
      </c>
      <c r="F28" s="149" t="s">
        <v>86</v>
      </c>
    </row>
    <row r="29" spans="1:8" ht="25.8" x14ac:dyDescent="0.45">
      <c r="A29" s="170" t="s">
        <v>35</v>
      </c>
      <c r="B29" s="171">
        <f>B16+B23</f>
        <v>375.97066649999999</v>
      </c>
      <c r="C29" s="114">
        <f>C16+C23</f>
        <v>-365.95349999999996</v>
      </c>
      <c r="D29" s="171">
        <f>D16+D23</f>
        <v>751.77141599999823</v>
      </c>
      <c r="E29" s="172">
        <f>E16+E23</f>
        <v>-330.50158350000089</v>
      </c>
      <c r="F29" s="173"/>
    </row>
    <row r="30" spans="1:8" ht="25.8" x14ac:dyDescent="0.3">
      <c r="A30" s="170" t="s">
        <v>36</v>
      </c>
      <c r="B30" s="171">
        <f>B16+B25</f>
        <v>377.814888</v>
      </c>
      <c r="C30" s="114">
        <f>C16+C25</f>
        <v>-366.14407499999993</v>
      </c>
      <c r="D30" s="171">
        <f>D16+D25</f>
        <v>750.55427699999825</v>
      </c>
      <c r="E30" s="172">
        <f>E16+E25</f>
        <v>-328.7571870000009</v>
      </c>
      <c r="F30" s="116" t="s">
        <v>15</v>
      </c>
    </row>
    <row r="31" spans="1:8" ht="26.4" thickBot="1" x14ac:dyDescent="0.35">
      <c r="A31" s="174" t="s">
        <v>37</v>
      </c>
      <c r="B31" s="175">
        <f>B16+B27</f>
        <v>293.2883415</v>
      </c>
      <c r="C31" s="176">
        <f>C16+C27</f>
        <v>-448.63582499999995</v>
      </c>
      <c r="D31" s="175">
        <f>D16+D27</f>
        <v>669.08909099999823</v>
      </c>
      <c r="E31" s="177">
        <f>E16+E27</f>
        <v>-413.28373350000084</v>
      </c>
      <c r="F31" s="178" t="s">
        <v>75</v>
      </c>
    </row>
    <row r="32" spans="1:8" ht="27" thickTop="1" thickBot="1" x14ac:dyDescent="0.55000000000000004">
      <c r="A32" s="121" t="s">
        <v>16</v>
      </c>
      <c r="B32" s="122" t="s">
        <v>17</v>
      </c>
      <c r="C32" s="121" t="s">
        <v>18</v>
      </c>
      <c r="D32" s="123" t="s">
        <v>19</v>
      </c>
      <c r="E32" s="124"/>
      <c r="F32" s="125" t="s">
        <v>168</v>
      </c>
      <c r="H32" s="65"/>
    </row>
    <row r="33" spans="1:7" ht="30" thickTop="1" thickBot="1" x14ac:dyDescent="0.55000000000000004">
      <c r="A33" s="126" t="s">
        <v>20</v>
      </c>
      <c r="B33" s="127" t="s">
        <v>125</v>
      </c>
      <c r="C33" s="128"/>
      <c r="D33" s="128"/>
      <c r="E33" s="129"/>
      <c r="F33" s="130" t="s">
        <v>87</v>
      </c>
    </row>
    <row r="34" spans="1:7" ht="28.8" customHeight="1" thickTop="1" x14ac:dyDescent="0.5">
      <c r="A34" s="179"/>
      <c r="B34" s="180"/>
      <c r="C34" s="181"/>
      <c r="D34" s="181"/>
      <c r="E34" s="182"/>
      <c r="G34" s="183"/>
    </row>
  </sheetData>
  <sheetProtection algorithmName="SHA-512" hashValue="thmk5xfhuijcFAbtIdDKtgJYcntNZaVPRFpDRYgfLgZ7NnELbw3+HAVboQbkzmlUzsl4c3vHjJox5sOdT2/Elg==" saltValue="MMwqmcorTVWsBLuksLErTA==" spinCount="100000" sheet="1" objects="1" scenarios="1"/>
  <hyperlinks>
    <hyperlink ref="D32:E32" r:id="rId1" display="Created by MinistryOfMarginTrading" xr:uid="{A76044C6-3805-4E31-999C-163CDA931A55}"/>
    <hyperlink ref="D32" r:id="rId2" xr:uid="{C8CB11C2-7A78-49C1-80D4-B84D160AE459}"/>
    <hyperlink ref="F33" r:id="rId3" xr:uid="{C501291A-1851-44AE-B0DE-293571056ADB}"/>
  </hyperlinks>
  <pageMargins left="0.7" right="0.7" top="0.75" bottom="0.75" header="0.3" footer="0.3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BTC</vt:lpstr>
      <vt:lpstr>Secrets of Bitmex</vt:lpstr>
      <vt:lpstr>Eth-fut</vt:lpstr>
      <vt:lpstr>XRP-fut</vt:lpstr>
      <vt:lpstr>LTC-fut</vt:lpstr>
      <vt:lpstr>BCH-fut</vt:lpstr>
      <vt:lpstr>ADA-fut</vt:lpstr>
      <vt:lpstr>TRX-fut</vt:lpstr>
      <vt:lpstr>EOS-fut</vt:lpstr>
      <vt:lpstr>XPR-S1</vt:lpstr>
      <vt:lpstr>BTC-S1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2018-09-07T10:42:28Z</dcterms:created>
  <dcterms:modified xsi:type="dcterms:W3CDTF">2018-11-02T07:29:02Z</dcterms:modified>
</cp:coreProperties>
</file>